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460" windowWidth="18780" windowHeight="11640" activeTab="1"/>
  </bookViews>
  <sheets>
    <sheet name="IMPACT Front-Page" sheetId="1" r:id="rId1"/>
    <sheet name="IMPACT Storage Estimator" sheetId="2" r:id="rId2"/>
    <sheet name="Background Lists &amp; Tables" sheetId="3" state="hidden" r:id="rId3"/>
    <sheet name="Background Compression &amp; Format" sheetId="4" state="hidden" r:id="rId4"/>
    <sheet name="Background OCR &amp; Format" sheetId="5" state="hidden" r:id="rId5"/>
  </sheets>
  <definedNames>
    <definedName name="BitDepth">#REF!</definedName>
    <definedName name="Compression">'Background Lists &amp; Tables'!$D$4:$D$5</definedName>
    <definedName name="Compression_Method">'Background Lists &amp; Tables'!$D$3:$D$9</definedName>
    <definedName name="Compression_Methods">'Background Lists &amp; Tables'!$D$3:$D$9</definedName>
    <definedName name="Compression1">'Background Lists &amp; Tables'!$D$3:$D$5</definedName>
    <definedName name="CompressionMethod">'Background Lists &amp; Tables'!$D$3:$D$7</definedName>
    <definedName name="CompressionMethods">'Background Lists &amp; Tables'!$D$3:$D$6</definedName>
    <definedName name="FileFormat_Images">'Background Lists &amp; Tables'!$B$3:$B$15</definedName>
    <definedName name="FileFormatImages">'Background Lists &amp; Tables'!$B$3:$B$9</definedName>
    <definedName name="FileFormats">'Background Lists &amp; Tables'!$B$4:$B$6</definedName>
    <definedName name="FileFormats_Images">'Background Lists &amp; Tables'!$B$3:$B$9</definedName>
    <definedName name="FileFormatsImages">'Background Lists &amp; Tables'!$B$3:$B$6</definedName>
    <definedName name="FileFormatsOCR">'Background Lists &amp; Tables'!$H$3:$H$5</definedName>
    <definedName name="_xlnm.Print_Area" localSheetId="0">'IMPACT Front-Page'!$B$3:$P$37</definedName>
    <definedName name="_xlnm.Print_Area" localSheetId="1">'IMPACT Storage Estimator'!$A$1:$H$53</definedName>
    <definedName name="Old">'Background Lists &amp; Tables'!$B$4:$B$6</definedName>
    <definedName name="PublicationType">'Background Lists &amp; Tables'!$J$3:$J$8</definedName>
    <definedName name="PublicationTypes">'Background Lists &amp; Tables'!$J$3:$J$9</definedName>
    <definedName name="Resolution">#REF!</definedName>
    <definedName name="testfelder">#REF!</definedName>
    <definedName name="Units">'Background Lists &amp; Tables'!$F$3:$F$6</definedName>
    <definedName name="Units1">'Background Lists &amp; Tables'!$F$3:$F$6</definedName>
    <definedName name="YesNo">#REF!</definedName>
  </definedNames>
  <calcPr fullCalcOnLoad="1"/>
</workbook>
</file>

<file path=xl/comments2.xml><?xml version="1.0" encoding="utf-8"?>
<comments xmlns="http://schemas.openxmlformats.org/spreadsheetml/2006/main">
  <authors>
    <author>fb</author>
  </authors>
  <commentList>
    <comment ref="D10" authorId="0">
      <text>
        <r>
          <rPr>
            <b/>
            <sz val="8"/>
            <rFont val="Tahoma"/>
            <family val="2"/>
          </rPr>
          <t xml:space="preserve">Please enter the estimated number of derivative files for your digitisation project. Typically it will be identical to the number of master files. Enter zero and ignore the following fields in case you don't store derivative files. Please enter a whole number greater than or equal to 0. </t>
        </r>
      </text>
    </comment>
    <comment ref="B10" authorId="0">
      <text>
        <r>
          <rPr>
            <b/>
            <sz val="8"/>
            <rFont val="Tahoma"/>
            <family val="2"/>
          </rPr>
          <t>Please enter the estimated number of master files (= original files from the source material) for your digitisation project. Please enter a whole number greater than 0.</t>
        </r>
      </text>
    </comment>
    <comment ref="B16" authorId="0">
      <text>
        <r>
          <rPr>
            <b/>
            <sz val="8"/>
            <rFont val="Tahoma"/>
            <family val="2"/>
          </rPr>
          <t>Field automatically filled in.</t>
        </r>
      </text>
    </comment>
    <comment ref="F10" authorId="0">
      <text>
        <r>
          <rPr>
            <b/>
            <sz val="8"/>
            <rFont val="Tahoma"/>
            <family val="2"/>
          </rPr>
          <t>Please enter the estimated number of derivative files for your digitisation project. Typically it will be identical to the number of master files. Enter zero and ignore the following fields in case you don't store derivative files. Please enter a whole number greater than or equal to 0.</t>
        </r>
      </text>
    </comment>
    <comment ref="H10" authorId="0">
      <text>
        <r>
          <rPr>
            <b/>
            <sz val="8"/>
            <rFont val="Tahoma"/>
            <family val="2"/>
          </rPr>
          <t>Please enter the estimated number of OCR result files for your digitisation project. It has to be identical to the number of OCRed files. Enter zero and ignore the following fields in case you don't store OCR result files. Please enter a whole number greater than or equal to 0.</t>
        </r>
      </text>
    </comment>
    <comment ref="B18" authorId="0">
      <text>
        <r>
          <rPr>
            <b/>
            <sz val="8"/>
            <color indexed="8"/>
            <rFont val="Tahoma"/>
            <family val="2"/>
          </rPr>
          <t>Field automatically filled in.</t>
        </r>
      </text>
    </comment>
    <comment ref="B30" authorId="0">
      <text>
        <r>
          <rPr>
            <b/>
            <sz val="8"/>
            <rFont val="Tahoma"/>
            <family val="2"/>
          </rPr>
          <t>Field automatically filled in.
This is the total size of required storage for your master files in Kilobyte. 
Please note: This is just an estimation!</t>
        </r>
      </text>
    </comment>
    <comment ref="B32" authorId="0">
      <text>
        <r>
          <rPr>
            <b/>
            <sz val="8"/>
            <rFont val="Tahoma"/>
            <family val="2"/>
          </rPr>
          <t>Field automatically filled in.
This is the total size of required storage for your master files in Megabyte. 
Please note: This is just an estimation!</t>
        </r>
      </text>
    </comment>
    <comment ref="B34" authorId="0">
      <text>
        <r>
          <rPr>
            <b/>
            <sz val="8"/>
            <rFont val="Tahoma"/>
            <family val="2"/>
          </rPr>
          <t>Field automatically filled in.
This is the total size of required storage for your master files in Gigabyte. 
Please note: This is just an estimation!</t>
        </r>
      </text>
    </comment>
    <comment ref="B36" authorId="0">
      <text>
        <r>
          <rPr>
            <b/>
            <sz val="8"/>
            <rFont val="Tahoma"/>
            <family val="2"/>
          </rPr>
          <t>Field automatically filled in.
This is the total size of required storage for your master files in Terabyte. 
Please note: This is just an estimation!</t>
        </r>
      </text>
    </comment>
    <comment ref="B41" authorId="0">
      <text>
        <r>
          <rPr>
            <b/>
            <sz val="8"/>
            <rFont val="Tahoma"/>
            <family val="2"/>
          </rPr>
          <t>Field automatically filled in.
This is the total number of CDs (700 MB) you need for your project. 
Please note: This is just an estimation!</t>
        </r>
      </text>
    </comment>
    <comment ref="B43" authorId="0">
      <text>
        <r>
          <rPr>
            <b/>
            <sz val="8"/>
            <rFont val="Tahoma"/>
            <family val="2"/>
          </rPr>
          <t>Field automatically filled in.
This is the total number of DVDs (4,7 GB) you need for your project. 
Please note: This is just an estimation!</t>
        </r>
      </text>
    </comment>
    <comment ref="B45" authorId="0">
      <text>
        <r>
          <rPr>
            <b/>
            <sz val="8"/>
            <rFont val="Tahoma"/>
            <family val="2"/>
          </rPr>
          <t>Field automatically filled in.
This is the total number of LTO-1 tapes (100 GB) you need for your project.
Please note: This is just an estimation!</t>
        </r>
      </text>
    </comment>
    <comment ref="B47" authorId="0">
      <text>
        <r>
          <rPr>
            <b/>
            <sz val="8"/>
            <rFont val="Tahoma"/>
            <family val="2"/>
          </rPr>
          <t>Field automatically filled in.
This is the total number of LTO-2 tapes (200 GB) you need for your project. 
Please note: This is just an estimation!</t>
        </r>
      </text>
    </comment>
    <comment ref="B49" authorId="0">
      <text>
        <r>
          <rPr>
            <b/>
            <sz val="8"/>
            <rFont val="Tahoma"/>
            <family val="2"/>
          </rPr>
          <t>Field automatically filled in.
This is the total number of LTO-3 tapes (400 GB) you need for your project. 
Please note: This is just an estimation!</t>
        </r>
      </text>
    </comment>
    <comment ref="B51" authorId="0">
      <text>
        <r>
          <rPr>
            <b/>
            <sz val="8"/>
            <rFont val="Tahoma"/>
            <family val="2"/>
          </rPr>
          <t>Field automatically filled in.
This is the total number of LTO-4 tapes (800 GB) you need for your project. 
Please note: This is just an estimation!</t>
        </r>
      </text>
    </comment>
    <comment ref="D16" authorId="0">
      <text>
        <r>
          <rPr>
            <b/>
            <sz val="8"/>
            <rFont val="Tahoma"/>
            <family val="2"/>
          </rPr>
          <t>Field automatically filled in.</t>
        </r>
      </text>
    </comment>
    <comment ref="D18" authorId="0">
      <text>
        <r>
          <rPr>
            <b/>
            <sz val="8"/>
            <rFont val="Tahoma"/>
            <family val="2"/>
          </rPr>
          <t>Field automatically filled in.</t>
        </r>
      </text>
    </comment>
    <comment ref="F16" authorId="0">
      <text>
        <r>
          <rPr>
            <b/>
            <sz val="8"/>
            <rFont val="Tahoma"/>
            <family val="2"/>
          </rPr>
          <t>Field automatically filled in.</t>
        </r>
      </text>
    </comment>
    <comment ref="F18" authorId="0">
      <text>
        <r>
          <rPr>
            <b/>
            <sz val="8"/>
            <rFont val="Tahoma"/>
            <family val="2"/>
          </rPr>
          <t>Field automatically filled in.</t>
        </r>
      </text>
    </comment>
    <comment ref="H14" authorId="0">
      <text>
        <r>
          <rPr>
            <b/>
            <sz val="8"/>
            <rFont val="Tahoma"/>
            <family val="2"/>
          </rPr>
          <t>Field automatically filled in.</t>
        </r>
      </text>
    </comment>
    <comment ref="H18" authorId="0">
      <text>
        <r>
          <rPr>
            <b/>
            <sz val="8"/>
            <rFont val="Tahoma"/>
            <family val="2"/>
          </rPr>
          <t>Field automatically filled in.
The value depends on the chosen publication type.</t>
        </r>
      </text>
    </comment>
    <comment ref="H22" authorId="0">
      <text>
        <r>
          <rPr>
            <b/>
            <sz val="8"/>
            <rFont val="Tahoma"/>
            <family val="2"/>
          </rPr>
          <t>Field automatically filled in.</t>
        </r>
      </text>
    </comment>
    <comment ref="D41" authorId="0">
      <text>
        <r>
          <rPr>
            <b/>
            <sz val="8"/>
            <rFont val="Tahoma"/>
            <family val="2"/>
          </rPr>
          <t>Field automatically filled in.
This is the total sum of required storage in Kilobyte. 
Please note: This is just an estimation!</t>
        </r>
      </text>
    </comment>
    <comment ref="D43" authorId="0">
      <text>
        <r>
          <rPr>
            <b/>
            <sz val="8"/>
            <rFont val="Tahoma"/>
            <family val="2"/>
          </rPr>
          <t>Field automatically filled in.
This is the total sum of required storage in Megabyte. 
Please note: This is just an estimation!</t>
        </r>
      </text>
    </comment>
    <comment ref="D45" authorId="0">
      <text>
        <r>
          <rPr>
            <b/>
            <sz val="8"/>
            <rFont val="Tahoma"/>
            <family val="2"/>
          </rPr>
          <t>Field automatically filled in.
This is the total sum of required storage in Gigabyte. 
Please note: This is just an estimation!</t>
        </r>
      </text>
    </comment>
    <comment ref="D47" authorId="0">
      <text>
        <r>
          <rPr>
            <b/>
            <sz val="8"/>
            <rFont val="Tahoma"/>
            <family val="2"/>
          </rPr>
          <t>Field automatically filled in.
This is the total sum of required storage in Terabyte. 
Please note: This is just an estimation!</t>
        </r>
      </text>
    </comment>
    <comment ref="D30" authorId="0">
      <text>
        <r>
          <rPr>
            <b/>
            <sz val="8"/>
            <rFont val="Tahoma"/>
            <family val="2"/>
          </rPr>
          <t>Field automatically filled in.
This is the total size of required storage for your derivative files in Kilobyte. 
Please note: This is just an estimation!</t>
        </r>
      </text>
    </comment>
    <comment ref="D32" authorId="0">
      <text>
        <r>
          <rPr>
            <b/>
            <sz val="8"/>
            <rFont val="Tahoma"/>
            <family val="2"/>
          </rPr>
          <t>Field automatically filled in.
This is the total size of required storage for your derivative files in Megabyte. 
Please note: This is just an estimation!</t>
        </r>
      </text>
    </comment>
    <comment ref="D34" authorId="0">
      <text>
        <r>
          <rPr>
            <b/>
            <sz val="8"/>
            <rFont val="Tahoma"/>
            <family val="2"/>
          </rPr>
          <t>Field automatically filled in.
This is the total size of required storage for your derivative files in Gigabyte. 
Please note: This is just an estimation!</t>
        </r>
      </text>
    </comment>
    <comment ref="D36" authorId="0">
      <text>
        <r>
          <rPr>
            <b/>
            <sz val="8"/>
            <rFont val="Tahoma"/>
            <family val="2"/>
          </rPr>
          <t>Field automatically filled in.
This is the total size of required storage for your derivative files in Terabyte.
Please note: This is just an estimation!</t>
        </r>
      </text>
    </comment>
    <comment ref="F30" authorId="0">
      <text>
        <r>
          <rPr>
            <b/>
            <sz val="8"/>
            <rFont val="Tahoma"/>
            <family val="2"/>
          </rPr>
          <t>Field automatically filled in.
This is the total size of required storage for your derivative files in Kilobyte. 
Please note: This is just an estimation!</t>
        </r>
      </text>
    </comment>
    <comment ref="F32" authorId="0">
      <text>
        <r>
          <rPr>
            <b/>
            <sz val="8"/>
            <rFont val="Tahoma"/>
            <family val="2"/>
          </rPr>
          <t>Field automatically filled in.
This is the total size of required storage for your derivative files in Megabyte. 
Please note: This is just an estimation!</t>
        </r>
      </text>
    </comment>
    <comment ref="F34" authorId="0">
      <text>
        <r>
          <rPr>
            <b/>
            <sz val="8"/>
            <rFont val="Tahoma"/>
            <family val="2"/>
          </rPr>
          <t>Field automatically filled in.
This is the total size of required storage for your derivative files in Gigabyte. 
Please note: This is just an estimation!</t>
        </r>
      </text>
    </comment>
    <comment ref="F36" authorId="0">
      <text>
        <r>
          <rPr>
            <b/>
            <sz val="8"/>
            <rFont val="Tahoma"/>
            <family val="2"/>
          </rPr>
          <t>Field automatically filled in.
This is the total size of required storage for your derivative files in Terabyte. 
Please note: This is just an estimation!</t>
        </r>
      </text>
    </comment>
    <comment ref="H30" authorId="0">
      <text>
        <r>
          <rPr>
            <b/>
            <sz val="8"/>
            <rFont val="Tahoma"/>
            <family val="2"/>
          </rPr>
          <t>Field automatically filled in. 
This is the total size of required storage for your OCR result files in Kilobyte. 
Please note: This is just an estimation!</t>
        </r>
      </text>
    </comment>
    <comment ref="H32" authorId="0">
      <text>
        <r>
          <rPr>
            <b/>
            <sz val="8"/>
            <rFont val="Tahoma"/>
            <family val="2"/>
          </rPr>
          <t>Field automatically filled in.
This is the total size of required storage for your OCR result files in Megabyte. 
Please note: This is just an estimation!</t>
        </r>
      </text>
    </comment>
    <comment ref="H34" authorId="0">
      <text>
        <r>
          <rPr>
            <b/>
            <sz val="8"/>
            <rFont val="Tahoma"/>
            <family val="2"/>
          </rPr>
          <t>Field automatically filled in.
This is the total size of required storage for your OCR result files in Gigabyte. 
Please note: This is just an estimation!</t>
        </r>
      </text>
    </comment>
    <comment ref="H36" authorId="0">
      <text>
        <r>
          <rPr>
            <b/>
            <sz val="8"/>
            <rFont val="Tahoma"/>
            <family val="2"/>
          </rPr>
          <t>Field automatically filled in.
This is the total size of required storage for your OCR result files in Terabyte. 
Please note: This is just an estimation!</t>
        </r>
      </text>
    </comment>
    <comment ref="B12" authorId="0">
      <text>
        <r>
          <rPr>
            <b/>
            <sz val="8"/>
            <rFont val="Tahoma"/>
            <family val="2"/>
          </rPr>
          <t>Please choose the (compressed) master file format you plan to use for your digitisation project. Only the listed file formats are valid. The percentage value related to JPEG represents the JPEG quality.</t>
        </r>
      </text>
    </comment>
    <comment ref="B14" authorId="0">
      <text>
        <r>
          <rPr>
            <b/>
            <sz val="8"/>
            <rFont val="Tahoma"/>
            <family val="2"/>
          </rPr>
          <t xml:space="preserve">Please choose the according TIFF compression method. Leave blank in case you don't want to use compression. Please note: You have to select TIFF as file format. Otherwise the compression method has no influence on the result. Only the listed compression methods are valid. </t>
        </r>
      </text>
    </comment>
    <comment ref="B20" authorId="0">
      <text>
        <r>
          <rPr>
            <b/>
            <sz val="8"/>
            <rFont val="Tahoma"/>
            <family val="2"/>
          </rPr>
          <t xml:space="preserve">Please enter the image resolution you want to use for your image files. Please enter a whole number greater than 0. Hint: In the context of master file production, at least 300 ppi for Greyscale and Colour Images as well as 600 ppi for Binary Images are recommended. Possible values for web presentation purposes are 96 and 150 ppi. </t>
        </r>
      </text>
    </comment>
    <comment ref="B28" authorId="0">
      <text>
        <r>
          <rPr>
            <b/>
            <sz val="8"/>
            <rFont val="Tahoma"/>
            <family val="2"/>
          </rPr>
          <t>Please choose a linear measure from the list. Only the listed linear measures are valid. Some Examples (Image Height x Image Width &amp; Unit Image Size): Choose 15 x 12 inches for Folio Format (e.g. a newspaper), 12 x 9,5 inches for Quarto Format (e.g. a large book), 9 x 6 inches for Octavo Format (e.g. an average book), 7,36 x 5 inches for Duodecimo Format (e.g. a small book).</t>
        </r>
      </text>
    </comment>
    <comment ref="D28" authorId="0">
      <text>
        <r>
          <rPr>
            <b/>
            <sz val="8"/>
            <rFont val="Tahoma"/>
            <family val="2"/>
          </rPr>
          <t>Please choose a linear measure from the list. Only the listed linear measures are valid. Some Examples (Image Height x Image Width &amp; Unit Image Size): Choose 15 x 12 inches for Folio Format (e.g. a newspaper), 12 x 9,5 inches for Quarto Format (e.g. a large book), 9 x 6 inches for Octavo Format (e.g. an average book), 7,36 x 5 inches for Duodecimo Format (e.g. a small book).</t>
        </r>
      </text>
    </comment>
    <comment ref="F28" authorId="0">
      <text>
        <r>
          <rPr>
            <b/>
            <sz val="8"/>
            <rFont val="Tahoma"/>
            <family val="2"/>
          </rPr>
          <t>Please choose a linear measure from the list. Only the listed linear measures are valid. Some Examples (Image Height x Image Width &amp; Unit Image Size): Choose 15 x 12 inches for Folio Format (e.g. a newspaper), 12 x 9,5 inches for Quarto Format (e.g. a large book), 9 x 6 inches for Octavo Format (e.g. an average book), 7,36 x 5 inches for Duodecimo Format (e.g. a small book).</t>
        </r>
      </text>
    </comment>
    <comment ref="B26" authorId="0">
      <text>
        <r>
          <rPr>
            <b/>
            <sz val="8"/>
            <rFont val="Tahoma"/>
            <family val="2"/>
          </rPr>
          <t>Please enter the width of the image files and the according measure unit (same unit as for height). Please enter a decimal number greater than 0. Some Examples (Image Height x Image Width &amp; Unit Image Size): Choose 15 x 12 inches for Folio Format (e.g. a newspaper), 12 x 9,5 inches for Quarto Format (e.g. a large book), 9 x 6 inches for Octavo Format (e.g. an average book), 7,36 x 5 inches for Duodecimo Format (e.g. a small book).</t>
        </r>
      </text>
    </comment>
    <comment ref="D26" authorId="0">
      <text>
        <r>
          <rPr>
            <b/>
            <sz val="8"/>
            <rFont val="Tahoma"/>
            <family val="2"/>
          </rPr>
          <t>Please enter the width of the image files and the according measure unit (same unit as for height). Please enter a decimal number greater than 0. Some Examples (Image Height x Image Width &amp; Unit Image Size): Choose 15 x 12 inches for Folio Format (e.g. a newspaper), 12 x 9,5 inches for Quarto Format (e.g. a large book), 9 x 6 inches for Octavo Format (e.g. an average book), 7,36 x 5 inches for Duodecimo Format (e.g. a small book).</t>
        </r>
      </text>
    </comment>
    <comment ref="F26" authorId="0">
      <text>
        <r>
          <rPr>
            <b/>
            <sz val="8"/>
            <rFont val="Tahoma"/>
            <family val="2"/>
          </rPr>
          <t>Please enter the width of the image files and the according measure unit (same unit as for height). Please enter a decimal number greater than 0. Some Examples (Image Height x Image Width &amp; Unit Image Size): Choose 15 x 12 inches for Folio Format (e.g. a newspaper), 12 x 9,5 inches for Quarto Format (e.g. a large book), 9 x 6 inches for Octavo Format (e.g. an average book), 7,36 x 5 inches for Duodecimo Format (e.g. a small book).</t>
        </r>
      </text>
    </comment>
    <comment ref="B24" authorId="0">
      <text>
        <r>
          <rPr>
            <b/>
            <sz val="8"/>
            <rFont val="Tahoma"/>
            <family val="2"/>
          </rPr>
          <t>Please enter the height of the image files and the according measure unit (same unit as for width). Please enter a decimal number greater than 0. Some Examples (Image Height x Image Width &amp; Unit Image Size): Choose 15 x 12 inches for Folio Format (e.g. a newspaper), 12 x 9,5 inches for Quarto Format (e.g. a large book), 9 x 6 inches for Octavo Format (e.g. an average book), 7,36 x 5 inches for Duodecimo Format (e.g. a small book).</t>
        </r>
      </text>
    </comment>
    <comment ref="D24" authorId="0">
      <text>
        <r>
          <rPr>
            <b/>
            <sz val="8"/>
            <rFont val="Tahoma"/>
            <family val="2"/>
          </rPr>
          <t>Please enter the height of the image files and the according measure unit (same unit as for width). Please enter a decimal number greater than 0. Some Examples (Image Height x Image Width &amp; Unit Image Size): Choose 15 x 12 inches for Folio Format (e.g. a newspaper), 12 x 9,5 inches for Quarto Format (e.g. a large book), 9 x 6 inches for Octavo Format (e.g. an average book), 7,36 x 5 inches for Duodecimo Format (e.g. a small book).</t>
        </r>
      </text>
    </comment>
    <comment ref="F24" authorId="0">
      <text>
        <r>
          <rPr>
            <b/>
            <sz val="8"/>
            <rFont val="Tahoma"/>
            <family val="2"/>
          </rPr>
          <t>Please enter the height of the image files and the according measure unit (same unit as for width). Please enter a decimal number greater than 0. Some Examples (Image Height x Image Width &amp; Unit Image Size): Choose 15 x 12 inches for Folio Format (e.g. a newspaper), 12 x 9,5 inches for Quarto Format (e.g. a large book), 9 x 6 inches for Octavo Format (e.g. an average book), 7,36 x 5 inches for Duodecimo Format (e.g. a small book).</t>
        </r>
      </text>
    </comment>
    <comment ref="B22" authorId="0">
      <text>
        <r>
          <rPr>
            <b/>
            <sz val="8"/>
            <rFont val="Tahoma"/>
            <family val="2"/>
          </rPr>
          <t>Please enter the bit depth (= colour depth) you want to use for your image files. Please enter a whole number greater than 0. Some Examples: Choose "1" for Binary Images, "8" for 256 tone Greyscale or colour Images, "24" for RGB (8bit per channel) True Colour Images and "32"-"48" for extended bit depth images.</t>
        </r>
      </text>
    </comment>
    <comment ref="D22" authorId="0">
      <text>
        <r>
          <rPr>
            <b/>
            <sz val="8"/>
            <rFont val="Tahoma"/>
            <family val="2"/>
          </rPr>
          <t>Please enter the bit depth (= colour depth) you want to use for your image files. Please enter a whole number greater than 0. Some Examples: Choose "1" for Binary Images, "8" for 256 tone Greyscale or colour Images, "24" for RGB (8bit per channel) True Colour Images and "32"-"48" for extended bit depth images.</t>
        </r>
      </text>
    </comment>
    <comment ref="F22" authorId="0">
      <text>
        <r>
          <rPr>
            <b/>
            <sz val="8"/>
            <rFont val="Tahoma"/>
            <family val="2"/>
          </rPr>
          <t>Please enter the bit depth (= colour depth) you want to use for your image files. Please enter a whole number greater than 0. Some Examples: Choose "1" for Binary Images, "8" for 256 tone Greyscale or colour Images, "24" for RGB (8bit per channel) True Colour Images and "32"-"48" for extended bit depth images.</t>
        </r>
      </text>
    </comment>
    <comment ref="D20" authorId="0">
      <text>
        <r>
          <rPr>
            <b/>
            <sz val="8"/>
            <rFont val="Tahoma"/>
            <family val="2"/>
          </rPr>
          <t xml:space="preserve">Please enter the image resolution you want to use for your image files. Please enter a whole number greater than 0. Hint: In the context of master file production, at least 300 ppi for Greyscale and Colour Images as well as 600 ppi for Binary Images are recommended. Possible values for web presentation purposes are 96 and 150 ppi. </t>
        </r>
      </text>
    </comment>
    <comment ref="F20" authorId="0">
      <text>
        <r>
          <rPr>
            <b/>
            <sz val="8"/>
            <rFont val="Tahoma"/>
            <family val="2"/>
          </rPr>
          <t xml:space="preserve">Please enter the image resolution you want to use for your image files. Please enter a whole number greater than 0. Hint: In the context of master file production, at least 300 ppi for Greyscale and Colour Images as well as 600 ppi for Binary Images are recommended. Possible values for web presentation purposes are 96 and 150 ppi. </t>
        </r>
      </text>
    </comment>
    <comment ref="D14" authorId="0">
      <text>
        <r>
          <rPr>
            <b/>
            <sz val="8"/>
            <color indexed="8"/>
            <rFont val="Tahoma"/>
            <family val="2"/>
          </rPr>
          <t xml:space="preserve">Please choose the according TIFF compression method. Leave blank in case you don't want to use compression. Please note: You have to select TIFF as file format. Otherwise the compression method has no influence on the result. Only the listed compression methods are valid. </t>
        </r>
      </text>
    </comment>
    <comment ref="F14" authorId="0">
      <text>
        <r>
          <rPr>
            <b/>
            <sz val="8"/>
            <rFont val="Tahoma"/>
            <family val="2"/>
          </rPr>
          <t xml:space="preserve">Please choose the according TIFF compression method. Leave blank in case you don't want to use compression. Please note: You have to select TIFF as file format. Otherwise the compression method has no influence on the result. Only the listed compression methods are valid. </t>
        </r>
      </text>
    </comment>
    <comment ref="F12" authorId="0">
      <text>
        <r>
          <rPr>
            <b/>
            <sz val="8"/>
            <rFont val="Tahoma"/>
            <family val="2"/>
          </rPr>
          <t>Please choose the (compressed) file format you plan to use for the derivative files of your digitisation project. Only the listed file formats are valid. The percentage value related to JPEG represents the JPEG quality.</t>
        </r>
      </text>
    </comment>
    <comment ref="D12" authorId="0">
      <text>
        <r>
          <rPr>
            <b/>
            <sz val="8"/>
            <color indexed="8"/>
            <rFont val="Tahoma"/>
            <family val="2"/>
          </rPr>
          <t>Please choose the (compressed) file format you plan to use for the derivative files of your digitisation project. Only the listed file formats are valid. The percentage value related to JPEG represents the JPEG quality.</t>
        </r>
      </text>
    </comment>
    <comment ref="H12" authorId="0">
      <text>
        <r>
          <rPr>
            <b/>
            <sz val="8"/>
            <rFont val="Tahoma"/>
            <family val="2"/>
          </rPr>
          <t>Please choose the file format you plan to use for the OCR result files of your digitisation project. Only the listed file formats are valid.</t>
        </r>
      </text>
    </comment>
    <comment ref="H16" authorId="0">
      <text>
        <r>
          <rPr>
            <b/>
            <sz val="8"/>
            <rFont val="Tahoma"/>
            <family val="2"/>
          </rPr>
          <t>Choose the publication size related to characters per image/page. Leave blank in case of using the below field "Characters per Image/Page". Note: You may not choose the publication size and enter manually the character number at the same time! Only the listed entries are valid.</t>
        </r>
      </text>
    </comment>
    <comment ref="H20" authorId="0">
      <text>
        <r>
          <rPr>
            <b/>
            <sz val="8"/>
            <rFont val="Tahoma"/>
            <family val="2"/>
          </rPr>
          <t>If available, enter the (estimated) number of characters per image. Otherwise leave blank and use the above field "Publication Size (Characters per Image/Page)". Note: You may not choose the publication size and enter manually the character number at the same time! Please enter a whole number greater/equal 0.</t>
        </r>
      </text>
    </comment>
    <comment ref="F39" authorId="0">
      <text>
        <r>
          <rPr>
            <b/>
            <sz val="8"/>
            <rFont val="Tahoma"/>
            <family val="2"/>
          </rPr>
          <t xml:space="preserve">All this information is optionally to be filled in, but may be useful for documentation purposes and printout. </t>
        </r>
      </text>
    </comment>
    <comment ref="F41" authorId="0">
      <text>
        <r>
          <rPr>
            <b/>
            <sz val="8"/>
            <rFont val="Tahoma"/>
            <family val="2"/>
          </rPr>
          <t>Please enter the name of your institution or company.</t>
        </r>
      </text>
    </comment>
    <comment ref="F43" authorId="0">
      <text>
        <r>
          <rPr>
            <b/>
            <sz val="8"/>
            <color indexed="8"/>
            <rFont val="Tahoma"/>
            <family val="2"/>
          </rPr>
          <t>Please enter the name of your project.</t>
        </r>
      </text>
    </comment>
    <comment ref="F45" authorId="0">
      <text>
        <r>
          <rPr>
            <b/>
            <sz val="8"/>
            <rFont val="Tahoma"/>
            <family val="2"/>
          </rPr>
          <t>Please enter a short description of the digital stock the calculation is for.</t>
        </r>
      </text>
    </comment>
    <comment ref="F47" authorId="0">
      <text>
        <r>
          <rPr>
            <b/>
            <sz val="8"/>
            <rFont val="Tahoma"/>
            <family val="2"/>
          </rPr>
          <t>Please enter the name of the person who used the IMPACT Storage estimator.</t>
        </r>
      </text>
    </comment>
    <comment ref="F49" authorId="0">
      <text>
        <r>
          <rPr>
            <b/>
            <sz val="8"/>
            <rFont val="Tahoma"/>
            <family val="2"/>
          </rPr>
          <t>The calculation date is automatically filled in. If required, you can adapt it according to your needs.</t>
        </r>
      </text>
    </comment>
  </commentList>
</comments>
</file>

<file path=xl/sharedStrings.xml><?xml version="1.0" encoding="utf-8"?>
<sst xmlns="http://schemas.openxmlformats.org/spreadsheetml/2006/main" count="259" uniqueCount="190">
  <si>
    <t>Compression Rate</t>
  </si>
  <si>
    <t>TIFF</t>
  </si>
  <si>
    <t>Units</t>
  </si>
  <si>
    <t>Inches</t>
  </si>
  <si>
    <t>Pixel</t>
  </si>
  <si>
    <t>mm</t>
  </si>
  <si>
    <t>cm</t>
  </si>
  <si>
    <t>CD (700 MB)</t>
  </si>
  <si>
    <t>DVD (4,7 GB)</t>
  </si>
  <si>
    <t>Characters per Image</t>
  </si>
  <si>
    <t>FileFormatsOCR</t>
  </si>
  <si>
    <t>Format Factor</t>
  </si>
  <si>
    <t>TIFF Compression Rate</t>
  </si>
  <si>
    <t>Master Files - Image Size</t>
  </si>
  <si>
    <t>Width</t>
  </si>
  <si>
    <t>Height</t>
  </si>
  <si>
    <t xml:space="preserve">Inches </t>
  </si>
  <si>
    <t xml:space="preserve">Pixel </t>
  </si>
  <si>
    <t xml:space="preserve">cm </t>
  </si>
  <si>
    <t xml:space="preserve">mm </t>
  </si>
  <si>
    <t>Not-formatted Text (*.txt)</t>
  </si>
  <si>
    <t>Word Level Information (*.xml)</t>
  </si>
  <si>
    <t>Character Level Information (*.xml)</t>
  </si>
  <si>
    <t>PublicationTypes</t>
  </si>
  <si>
    <t>Source</t>
  </si>
  <si>
    <t>File Name</t>
  </si>
  <si>
    <t>Bit Depths</t>
  </si>
  <si>
    <t>Width x Height</t>
  </si>
  <si>
    <t>TIFF - File Size in KB</t>
  </si>
  <si>
    <t>TIFF - File Size in Percent</t>
  </si>
  <si>
    <t>TIFF LZW - File Size in KB</t>
  </si>
  <si>
    <t>TIFF LZW - File Size in Percent</t>
  </si>
  <si>
    <t>TIFF Group 4 - File Size in KB</t>
  </si>
  <si>
    <t>TIFF Group 4 - File Size in Percent</t>
  </si>
  <si>
    <t>TIFF ZIP - File Size in KB</t>
  </si>
  <si>
    <t>TIFF ZIP - File Size in Percent</t>
  </si>
  <si>
    <t>TIFF JPEG - File Size in KB</t>
  </si>
  <si>
    <t>TIFF JPEG - File Size in Percent</t>
  </si>
  <si>
    <t>JPEG (100%) - File Size in KB</t>
  </si>
  <si>
    <t>JPEG (100%) - File Size in Percent</t>
  </si>
  <si>
    <t>JPEG (50%) - File Size in KB</t>
  </si>
  <si>
    <t>JPEG (50%) - File Size in Percent</t>
  </si>
  <si>
    <t>JPEG2000 - File Size in KB</t>
  </si>
  <si>
    <t>JPEG2000 - File Size in Percent</t>
  </si>
  <si>
    <t>BMP - File Size in KB</t>
  </si>
  <si>
    <t>BMP - File Size in Percent</t>
  </si>
  <si>
    <t>GIF - File Size in KB</t>
  </si>
  <si>
    <t>GIF - File Size in Percent</t>
  </si>
  <si>
    <t>PNG - File Size in KB</t>
  </si>
  <si>
    <t>PNG - File Size in Percent</t>
  </si>
  <si>
    <t>book 18th century</t>
  </si>
  <si>
    <t>00006483</t>
  </si>
  <si>
    <t>11,3 x 18,9 cm</t>
  </si>
  <si>
    <t>book 19th century</t>
  </si>
  <si>
    <t>00007648</t>
  </si>
  <si>
    <t>16,5 x 20,5 cm</t>
  </si>
  <si>
    <t>00006483-Image from the first scans</t>
  </si>
  <si>
    <t>11,1 x 19,0 cm</t>
  </si>
  <si>
    <t>newspaper 20th century</t>
  </si>
  <si>
    <t>00007520</t>
  </si>
  <si>
    <t>31,9 x 47,2 cm</t>
  </si>
  <si>
    <t>newspaper 19th century</t>
  </si>
  <si>
    <t>00000468</t>
  </si>
  <si>
    <t>20,9 x 26,2 cm</t>
  </si>
  <si>
    <t>00007799</t>
  </si>
  <si>
    <t>32,2 x 46,7 cm</t>
  </si>
  <si>
    <t>newspaper 18th century</t>
  </si>
  <si>
    <t>00008465</t>
  </si>
  <si>
    <t>31,1 x 41,8 cm</t>
  </si>
  <si>
    <t>00009218</t>
  </si>
  <si>
    <t>31,7 x 46,1 cm</t>
  </si>
  <si>
    <t>00000187</t>
  </si>
  <si>
    <t>12,6 x 20,4 cm</t>
  </si>
  <si>
    <t>Compression rate for black-and white images is 0,13.</t>
  </si>
  <si>
    <t>Average compression rate is 1.</t>
  </si>
  <si>
    <t>TIFF Group4 (black-and-white)</t>
  </si>
  <si>
    <t>TIFF LZW (black-and-white)</t>
  </si>
  <si>
    <t>TIFF LZW (colour and greyscale)</t>
  </si>
  <si>
    <t>TIFF ZIP (black-and-white)</t>
  </si>
  <si>
    <t>JPEG (100%, colour)</t>
  </si>
  <si>
    <t>JPEG (100%, greyscale)</t>
  </si>
  <si>
    <t>JPEG (50%, colour)</t>
  </si>
  <si>
    <t>JPEG (50%, greyscale)</t>
  </si>
  <si>
    <t>JPEG2000 (lossless, colour and greyscale)</t>
  </si>
  <si>
    <t>BMP (uncompressed)</t>
  </si>
  <si>
    <t>GIF (colour; lossless up to 256 colours)</t>
  </si>
  <si>
    <t>GIF (greyscale)</t>
  </si>
  <si>
    <t>GIF (black-and-white)</t>
  </si>
  <si>
    <t>PNG (colour, best compression)</t>
  </si>
  <si>
    <t>PNG (greyscale, best compression)</t>
  </si>
  <si>
    <t>PNG (black-and-white, best compression)</t>
  </si>
  <si>
    <t>FileFormat_Images</t>
  </si>
  <si>
    <t>Average Compression Rate in Percent</t>
  </si>
  <si>
    <t>Average Compression Rate (colour) in Percent</t>
  </si>
  <si>
    <t>Average Compression Rate (greyscale) in Percent</t>
  </si>
  <si>
    <t>Average Compression Rate (black-and-white) in Percent</t>
  </si>
  <si>
    <t>Compression rate for colour and greyscale images is 0,80, for black-and-white images 0,28.</t>
  </si>
  <si>
    <t>Compression rate for colour images is 0,31, for greyscale images 0,51.</t>
  </si>
  <si>
    <t>Compression rate for colour images is 0,24, for greyscale images 0,52.</t>
  </si>
  <si>
    <t>Compression rate for colour images is 0,03, for greyscale images 0,09.</t>
  </si>
  <si>
    <t>Average compression rate is 0,51.</t>
  </si>
  <si>
    <t>Not-formatted text (*.txt) - Number of Characters without blanks</t>
  </si>
  <si>
    <t>Not-formatted Text (*.txt) - File Size in KB</t>
  </si>
  <si>
    <t>Character Level Information (*.xml) - File Size in KB</t>
  </si>
  <si>
    <t>Character Level Information (*.xml) - File Size in Percent compared to not-formatted text</t>
  </si>
  <si>
    <t>Word Level Information (*.xml) - File Size in KB</t>
  </si>
  <si>
    <t>Word Level Information (*.xml) - File Size in Percent</t>
  </si>
  <si>
    <t>bl00008181</t>
  </si>
  <si>
    <t>bl00008185</t>
  </si>
  <si>
    <t>book 20th century</t>
  </si>
  <si>
    <t>bsb00016289_00014</t>
  </si>
  <si>
    <t>bsb00016289_00123</t>
  </si>
  <si>
    <t>bsb00016318_00030</t>
  </si>
  <si>
    <t>bsb00016318_00751</t>
  </si>
  <si>
    <t>bsb00023058_00333</t>
  </si>
  <si>
    <t>bsb00023058_00621</t>
  </si>
  <si>
    <t>bsb00023292_00124</t>
  </si>
  <si>
    <t>bsb00023292_00632</t>
  </si>
  <si>
    <t>jhvd51_0009</t>
  </si>
  <si>
    <t>jhvd51_0021</t>
  </si>
  <si>
    <t>onb00010308</t>
  </si>
  <si>
    <t>onb00010483</t>
  </si>
  <si>
    <t>Average Values</t>
  </si>
  <si>
    <t>Average number of characters per KB for not-formatted text:</t>
  </si>
  <si>
    <t>Format Factor compared to not-formatted Text:</t>
  </si>
  <si>
    <t>Compression rate for colour images is 0,76, for greyscale images 0,68, for black-and-white images 0,25.</t>
  </si>
  <si>
    <t>TIFF is the uncompressed reference format. The compression rate is 1.</t>
  </si>
  <si>
    <t>Compression rate for colour images is 0,19, for greyscale images 0,79, for black-and-white images 0,29.</t>
  </si>
  <si>
    <t>Compression rate for colour images is 0,49, for greyscale images 0,61, for black-and-white images 0,23.</t>
  </si>
  <si>
    <t>TIFF ZIP (greyscale)</t>
  </si>
  <si>
    <t>Compression_Methods</t>
  </si>
  <si>
    <t>TIFF ZIP (colour)</t>
  </si>
  <si>
    <t>Characters related to Publication Size</t>
  </si>
  <si>
    <t>Small book (2000 Characters)</t>
  </si>
  <si>
    <t>Average book (3000 Characters)</t>
  </si>
  <si>
    <t>Large book (4000 Characters)</t>
  </si>
  <si>
    <t>Small newspaper (8000 Characters)</t>
  </si>
  <si>
    <t>Average newspaper (10000 Characters)</t>
  </si>
  <si>
    <t>Large newspaper (12000 Characters)</t>
  </si>
  <si>
    <t>Derivative Files for OCR - Image Size</t>
  </si>
  <si>
    <t>Derivative Files for Web - Image Size</t>
  </si>
  <si>
    <t>Total Number of Storage Media</t>
  </si>
  <si>
    <t>Total Required Storage</t>
  </si>
  <si>
    <t>Kilobyte (KB)</t>
  </si>
  <si>
    <t>Megabyte (MB)</t>
  </si>
  <si>
    <t>Gigabyte (GB)</t>
  </si>
  <si>
    <t>Terabyte (TB)</t>
  </si>
  <si>
    <t>Linear Tape-Open 1 Native (100 GB)*</t>
  </si>
  <si>
    <t>Linear Tape-Open 2 Native (200 GB)*</t>
  </si>
  <si>
    <t>Linear Tape-Open 3 Native (400 GB)*</t>
  </si>
  <si>
    <t>Linear Tape-Open 4 Native (800 GB)*</t>
  </si>
  <si>
    <t>Required Storage in Kilobyte (KB)</t>
  </si>
  <si>
    <t>Required Storage in Megabyte (MB)</t>
  </si>
  <si>
    <t>Required Storage in Gigabyte (GB)</t>
  </si>
  <si>
    <t>Required Storage in Terabyte (TB)</t>
  </si>
  <si>
    <t>* If compression is used - divide the output in half</t>
  </si>
  <si>
    <t xml:space="preserve">IMPACT is supported by the European Community under the Information and Communication Technologies Theme of the Seventh Framework Programme.  </t>
  </si>
  <si>
    <t>IMPACT Storage Estimator</t>
  </si>
  <si>
    <t>Red cells contain error messages</t>
  </si>
  <si>
    <t>Resolution (ppi)</t>
  </si>
  <si>
    <t>Source File</t>
  </si>
  <si>
    <t>Project related information</t>
  </si>
  <si>
    <t>Project name:</t>
  </si>
  <si>
    <t>Calculated by:</t>
  </si>
  <si>
    <t>Institution / Company:</t>
  </si>
  <si>
    <t>Digital stock description:</t>
  </si>
  <si>
    <t>Calculation date:</t>
  </si>
  <si>
    <t>IMPACT</t>
  </si>
  <si>
    <t>Storage Estimator</t>
  </si>
  <si>
    <t>European Heritage</t>
  </si>
  <si>
    <t>Munich DigitiZation Center</t>
  </si>
  <si>
    <t xml:space="preserve">Instructions for Use
</t>
  </si>
  <si>
    <t>Dark green cells necessarily to be filled</t>
  </si>
  <si>
    <t>Light green cells optionally to be filled / changed</t>
  </si>
  <si>
    <t>Derivative Files for OCR</t>
  </si>
  <si>
    <t>Derivative Files for Web</t>
  </si>
  <si>
    <t>OCR Result Files</t>
  </si>
  <si>
    <t>Results will be displayed in the blue cells</t>
  </si>
  <si>
    <t>Tools used for converting tasks: 
- XnView (http://www.xnview.com)
- IrfanView (http://www.irfanview.net). 
In case there was a difference - different file size after converting from one into another file format - the average value was chosen. Test material can be provided. 
This Excel sheet is based on a small selection of "representative" test material.</t>
  </si>
  <si>
    <t>Values used by the IMPACT Storage Estimator</t>
  </si>
  <si>
    <t>Compression Rates used by the IMPACT Storage Estimator</t>
  </si>
  <si>
    <t xml:space="preserve">The tool used for creating the different OCR result files was ABBYY FineReader 7.0. 
Test material can be provided. 
This Excel sheet is based on a small selection of "representative" test material. </t>
  </si>
  <si>
    <t xml:space="preserve">Although great care was taken in producing this storage estimator, you use it at your own risk. IMPACT can not guarantee the absence of errors or omissions in this tool. If you find any mistakes, please contact the authors at impact@bsb-muenchen.de.
</t>
  </si>
  <si>
    <t xml:space="preserve">This tool will estimate the storage required by your project for the images and OCR output files made within the workflow. To use it, please click the start button on the left and enter the details of how many images and what compression is used in the appropriate boxes. </t>
  </si>
  <si>
    <t>Version 4.0, February 2011</t>
  </si>
  <si>
    <t>The project is coordinated by the National Library of the Netherlands.</t>
  </si>
  <si>
    <r>
      <t xml:space="preserve">                       </t>
    </r>
    <r>
      <rPr>
        <b/>
        <sz val="7"/>
        <color indexed="9"/>
        <rFont val="Arial"/>
        <family val="2"/>
      </rPr>
      <t xml:space="preserve"> IMPACT is supported by the European Community under the Information and Communication Technologies Theme of the Seventh Framework Programme.  The project is coordinated by the National Library of the Netherlands.</t>
    </r>
  </si>
  <si>
    <t>Although care was taken in producing this storage estimator, you use it at your own risk. IMPACT can not guarantee the absence of errors or omissions in this tool. If you find any mistakes, please contact us at impact@bsb-muenchen.de.</t>
  </si>
  <si>
    <t>Provided for the IMPACT Project by the Munich DigitiZation Center (MDZ) at the Bavarian State Library, www.muenchener-digitalisierungszentrum.de.</t>
  </si>
  <si>
    <t xml:space="preserve">For support use our HelpDesk at: www.impact-project.eu/helpdesk. If required, please consult our detailed IMPACT Storage Estimator Tutorial and background notes that can be downloaded from the IMPACT website under www.impact-project.eu. </t>
  </si>
</sst>
</file>

<file path=xl/styles.xml><?xml version="1.0" encoding="utf-8"?>
<styleSheet xmlns="http://schemas.openxmlformats.org/spreadsheetml/2006/main">
  <numFmts count="34">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Ja&quot;;&quot;Ja&quot;;&quot;Nein&quot;"/>
    <numFmt numFmtId="181" formatCode="&quot;Wahr&quot;;&quot;Wahr&quot;;&quot;Falsch&quot;"/>
    <numFmt numFmtId="182" formatCode="&quot;Ein&quot;;&quot;Ein&quot;;&quot;Aus&quot;"/>
    <numFmt numFmtId="183" formatCode="[$€-2]\ #,##0.00_);[Red]\([$€-2]\ #,##0.00\)"/>
    <numFmt numFmtId="184" formatCode="[$-407]dddd\,\ d\.\ mmmm\ yyyy"/>
    <numFmt numFmtId="185" formatCode="[$-F800]dddd\,\ mmmm\ dd\,\ yyyy"/>
    <numFmt numFmtId="186" formatCode="d/m/yy\ h:mm;@"/>
    <numFmt numFmtId="187" formatCode="&quot;Yes&quot;;&quot;Yes&quot;;&quot;No&quot;"/>
    <numFmt numFmtId="188" formatCode="&quot;True&quot;;&quot;True&quot;;&quot;False&quot;"/>
    <numFmt numFmtId="189" formatCode="&quot;On&quot;;&quot;On&quot;;&quot;Off&quot;"/>
  </numFmts>
  <fonts count="58">
    <font>
      <sz val="10"/>
      <name val="Arial"/>
      <family val="0"/>
    </font>
    <font>
      <sz val="8"/>
      <name val="Arial"/>
      <family val="2"/>
    </font>
    <font>
      <b/>
      <sz val="10"/>
      <name val="Arial"/>
      <family val="2"/>
    </font>
    <font>
      <b/>
      <sz val="8"/>
      <name val="Tahoma"/>
      <family val="2"/>
    </font>
    <font>
      <u val="single"/>
      <sz val="10"/>
      <color indexed="12"/>
      <name val="Arial"/>
      <family val="2"/>
    </font>
    <font>
      <u val="single"/>
      <sz val="10"/>
      <color indexed="36"/>
      <name val="Arial"/>
      <family val="2"/>
    </font>
    <font>
      <b/>
      <sz val="10"/>
      <color indexed="9"/>
      <name val="Arial"/>
      <family val="2"/>
    </font>
    <font>
      <b/>
      <sz val="12"/>
      <name val="Arial"/>
      <family val="2"/>
    </font>
    <font>
      <b/>
      <sz val="8"/>
      <name val="Arial"/>
      <family val="2"/>
    </font>
    <font>
      <b/>
      <sz val="9"/>
      <name val="Arial"/>
      <family val="2"/>
    </font>
    <font>
      <b/>
      <sz val="24"/>
      <name val="Arial"/>
      <family val="2"/>
    </font>
    <font>
      <sz val="7"/>
      <name val="Arial"/>
      <family val="2"/>
    </font>
    <font>
      <b/>
      <sz val="7"/>
      <color indexed="9"/>
      <name val="Arial"/>
      <family val="2"/>
    </font>
    <font>
      <b/>
      <sz val="23"/>
      <name val="Arial"/>
      <family val="2"/>
    </font>
    <font>
      <b/>
      <sz val="18"/>
      <name val="Arial"/>
      <family val="2"/>
    </font>
    <font>
      <sz val="11"/>
      <name val="Arial"/>
      <family val="2"/>
    </font>
    <font>
      <b/>
      <sz val="8"/>
      <color indexed="8"/>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7"/>
      <color indexed="8"/>
      <name val="Calibri"/>
      <family val="0"/>
    </font>
    <font>
      <sz val="7"/>
      <color indexed="8"/>
      <name val="Calibri"/>
      <family val="0"/>
    </font>
    <font>
      <b/>
      <sz val="8"/>
      <color indexed="8"/>
      <name val="Calibri"/>
      <family val="0"/>
    </font>
    <font>
      <sz val="9"/>
      <color indexed="8"/>
      <name val="Calibri"/>
      <family val="0"/>
    </font>
    <font>
      <sz val="11"/>
      <color theme="1"/>
      <name val="Calibri"/>
      <family val="2"/>
    </font>
    <font>
      <sz val="11"/>
      <color theme="0"/>
      <name val="Calibri"/>
      <family val="2"/>
    </font>
    <font>
      <sz val="11"/>
      <color rgb="FF0061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b/>
      <sz val="18"/>
      <color theme="3"/>
      <name val="Cambria"/>
      <family val="2"/>
    </font>
    <font>
      <sz val="11"/>
      <color rgb="FF9C6500"/>
      <name val="Calibri"/>
      <family val="2"/>
    </font>
    <font>
      <sz val="11"/>
      <color rgb="FFFA7D00"/>
      <name val="Calibri"/>
      <family val="2"/>
    </font>
    <font>
      <b/>
      <sz val="11"/>
      <color theme="1"/>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sz val="11"/>
      <color rgb="FF9C0006"/>
      <name val="Calibri"/>
      <family val="2"/>
    </font>
    <font>
      <sz val="11"/>
      <color rgb="FF000000"/>
      <name val="Arial"/>
      <family val="2"/>
    </font>
    <font>
      <b/>
      <sz val="7"/>
      <color theme="0"/>
      <name val="Arial"/>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FFC7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1"/>
        <bgColor indexed="64"/>
      </patternFill>
    </fill>
    <fill>
      <patternFill patternType="solid">
        <fgColor indexed="47"/>
        <bgColor indexed="64"/>
      </patternFill>
    </fill>
    <fill>
      <patternFill patternType="solid">
        <fgColor indexed="45"/>
        <bgColor indexed="64"/>
      </patternFill>
    </fill>
    <fill>
      <patternFill patternType="solid">
        <fgColor indexed="22"/>
        <bgColor indexed="64"/>
      </patternFill>
    </fill>
    <fill>
      <patternFill patternType="solid">
        <fgColor indexed="42"/>
        <bgColor indexed="64"/>
      </patternFill>
    </fill>
    <fill>
      <patternFill patternType="solid">
        <fgColor indexed="13"/>
        <bgColor indexed="64"/>
      </patternFill>
    </fill>
    <fill>
      <patternFill patternType="solid">
        <fgColor indexed="55"/>
        <bgColor indexed="64"/>
      </patternFill>
    </fill>
    <fill>
      <patternFill patternType="solid">
        <fgColor indexed="50"/>
        <bgColor indexed="64"/>
      </patternFill>
    </fill>
    <fill>
      <patternFill patternType="solid">
        <fgColor indexed="53"/>
        <bgColor indexed="64"/>
      </patternFill>
    </fill>
    <fill>
      <patternFill patternType="solid">
        <fgColor indexed="46"/>
        <bgColor indexed="64"/>
      </patternFill>
    </fill>
    <fill>
      <patternFill patternType="solid">
        <fgColor indexed="23"/>
        <bgColor indexed="64"/>
      </patternFill>
    </fill>
    <fill>
      <patternFill patternType="solid">
        <fgColor indexed="52"/>
        <bgColor indexed="64"/>
      </patternFill>
    </fill>
    <fill>
      <patternFill patternType="solid">
        <fgColor indexed="44"/>
        <bgColor indexed="64"/>
      </patternFill>
    </fill>
    <fill>
      <patternFill patternType="solid">
        <fgColor indexed="57"/>
        <bgColor indexed="64"/>
      </patternFill>
    </fill>
    <fill>
      <patternFill patternType="solid">
        <fgColor indexed="51"/>
        <bgColor indexed="64"/>
      </patternFill>
    </fill>
    <fill>
      <patternFill patternType="solid">
        <fgColor theme="3" tint="0.39998000860214233"/>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rgb="FFFF0000"/>
        <bgColor indexed="64"/>
      </patternFill>
    </fill>
    <fill>
      <patternFill patternType="solid">
        <fgColor rgb="FF92D050"/>
        <bgColor indexed="64"/>
      </patternFill>
    </fill>
    <fill>
      <patternFill patternType="solid">
        <fgColor theme="0"/>
        <bgColor indexed="64"/>
      </patternFill>
    </fill>
    <fill>
      <patternFill patternType="solid">
        <fgColor theme="6" tint="-0.24997000396251678"/>
        <bgColor indexed="64"/>
      </patternFill>
    </fill>
    <fill>
      <patternFill patternType="solid">
        <fgColor rgb="FF996633"/>
        <bgColor indexed="64"/>
      </patternFill>
    </fill>
    <fill>
      <patternFill patternType="solid">
        <fgColor theme="0" tint="-0.4999699890613556"/>
        <bgColor indexed="64"/>
      </patternFill>
    </fill>
    <fill>
      <patternFill patternType="solid">
        <fgColor indexed="43"/>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ck"/>
      <right style="thin"/>
      <top style="thin"/>
      <bottom style="thin"/>
    </border>
    <border>
      <left style="thin"/>
      <right style="thick"/>
      <top style="thin"/>
      <bottom style="thin"/>
    </border>
    <border>
      <left style="thick"/>
      <right style="thin"/>
      <top style="thick"/>
      <bottom style="thin"/>
    </border>
    <border>
      <left style="thin"/>
      <right style="thick"/>
      <top style="thick"/>
      <bottom style="thin"/>
    </border>
    <border>
      <left style="thick"/>
      <right style="thin"/>
      <top>
        <color indexed="63"/>
      </top>
      <bottom style="thick"/>
    </border>
    <border>
      <left style="thin"/>
      <right style="thick"/>
      <top>
        <color indexed="63"/>
      </top>
      <bottom style="thick"/>
    </border>
    <border>
      <left style="thick"/>
      <right style="thick"/>
      <top>
        <color indexed="63"/>
      </top>
      <bottom>
        <color indexed="63"/>
      </bottom>
    </border>
    <border>
      <left style="thick"/>
      <right style="thick"/>
      <top>
        <color indexed="63"/>
      </top>
      <bottom style="thick"/>
    </border>
    <border>
      <left style="thick"/>
      <right style="thick"/>
      <top style="thick"/>
      <bottom>
        <color indexed="63"/>
      </bottom>
    </border>
    <border>
      <left style="thick"/>
      <right style="thick"/>
      <top style="thin"/>
      <bottom style="thin"/>
    </border>
    <border>
      <left style="thick"/>
      <right style="thick"/>
      <top style="thin"/>
      <bottom style="thick"/>
    </border>
    <border>
      <left style="thick"/>
      <right style="thin"/>
      <top style="thin"/>
      <bottom style="thick"/>
    </border>
    <border>
      <left style="thin"/>
      <right style="thick"/>
      <top style="thin"/>
      <bottom style="thick"/>
    </border>
    <border>
      <left style="thin"/>
      <right style="thin"/>
      <top style="thick"/>
      <bottom style="thin"/>
    </border>
    <border>
      <left style="thick"/>
      <right style="thin"/>
      <top>
        <color indexed="63"/>
      </top>
      <bottom style="thin"/>
    </border>
    <border>
      <left style="thin"/>
      <right style="thick"/>
      <top>
        <color indexed="63"/>
      </top>
      <bottom style="thin"/>
    </border>
    <border>
      <left style="thin"/>
      <right style="thin"/>
      <top style="thin"/>
      <bottom style="thin"/>
    </border>
    <border>
      <left style="thick"/>
      <right style="thick"/>
      <top>
        <color indexed="63"/>
      </top>
      <bottom style="thin"/>
    </border>
    <border>
      <left style="thick"/>
      <right style="thick"/>
      <top style="thick"/>
      <bottom style="thick"/>
    </border>
    <border>
      <left style="thick"/>
      <right style="thick"/>
      <top style="thick"/>
      <bottom style="thin"/>
    </border>
    <border>
      <left>
        <color indexed="63"/>
      </left>
      <right style="thick"/>
      <top style="thick"/>
      <bottom>
        <color indexed="63"/>
      </bottom>
    </border>
    <border>
      <left>
        <color indexed="63"/>
      </left>
      <right style="thick"/>
      <top>
        <color indexed="63"/>
      </top>
      <bottom>
        <color indexed="63"/>
      </bottom>
    </border>
    <border>
      <left>
        <color indexed="63"/>
      </left>
      <right style="thick"/>
      <top>
        <color indexed="63"/>
      </top>
      <bottom style="thin"/>
    </border>
    <border>
      <left style="thick"/>
      <right>
        <color indexed="63"/>
      </right>
      <top style="thin"/>
      <bottom>
        <color indexed="63"/>
      </bottom>
    </border>
    <border>
      <left>
        <color indexed="63"/>
      </left>
      <right style="thick"/>
      <top style="thin"/>
      <bottom>
        <color indexed="63"/>
      </bottom>
    </border>
    <border>
      <left style="thick"/>
      <right>
        <color indexed="63"/>
      </right>
      <top>
        <color indexed="63"/>
      </top>
      <bottom>
        <color indexed="63"/>
      </bottom>
    </border>
    <border>
      <left>
        <color indexed="63"/>
      </left>
      <right>
        <color indexed="63"/>
      </right>
      <top style="thick"/>
      <bottom style="thick"/>
    </border>
    <border>
      <left style="thick"/>
      <right style="thin"/>
      <top style="thick"/>
      <bottom style="thick"/>
    </border>
    <border>
      <left>
        <color indexed="63"/>
      </left>
      <right style="thick"/>
      <top style="thick"/>
      <bottom style="thick"/>
    </border>
    <border>
      <left>
        <color indexed="63"/>
      </left>
      <right style="thick"/>
      <top style="thick"/>
      <bottom style="thin"/>
    </border>
    <border>
      <left>
        <color indexed="63"/>
      </left>
      <right style="thin"/>
      <top style="thick"/>
      <bottom style="thin"/>
    </border>
    <border>
      <left>
        <color indexed="63"/>
      </left>
      <right style="thick"/>
      <top style="thin"/>
      <bottom style="thin"/>
    </border>
    <border>
      <left>
        <color indexed="63"/>
      </left>
      <right style="thin"/>
      <top style="thin"/>
      <bottom style="thin"/>
    </border>
    <border>
      <left>
        <color indexed="63"/>
      </left>
      <right style="thick"/>
      <top style="thin"/>
      <bottom style="thick"/>
    </border>
    <border>
      <left>
        <color indexed="63"/>
      </left>
      <right style="thin"/>
      <top style="thin"/>
      <bottom>
        <color indexed="63"/>
      </bottom>
    </border>
    <border>
      <left style="thin"/>
      <right style="thick"/>
      <top style="thin"/>
      <bottom>
        <color indexed="63"/>
      </bottom>
    </border>
    <border>
      <left style="thin"/>
      <right style="thick"/>
      <top style="thick"/>
      <bottom style="thick"/>
    </border>
    <border>
      <left style="thick"/>
      <right>
        <color indexed="63"/>
      </right>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n"/>
      <top style="thick"/>
      <bottom style="thick"/>
    </border>
    <border>
      <left style="thick"/>
      <right>
        <color indexed="63"/>
      </right>
      <top style="thick"/>
      <bottom style="thick"/>
    </border>
    <border>
      <left style="thin"/>
      <right style="thin"/>
      <top style="thick"/>
      <bottom style="thick"/>
    </border>
    <border>
      <left style="thick"/>
      <right style="thin"/>
      <top style="thin"/>
      <bottom>
        <color indexed="63"/>
      </bottom>
    </border>
    <border>
      <left style="thin"/>
      <right style="thin"/>
      <top style="thin"/>
      <bottom>
        <color indexed="63"/>
      </bottom>
    </border>
    <border>
      <left>
        <color indexed="63"/>
      </left>
      <right>
        <color indexed="63"/>
      </right>
      <top style="thick"/>
      <bottom>
        <color indexed="63"/>
      </bottom>
    </border>
    <border>
      <left>
        <color indexed="63"/>
      </left>
      <right style="thick"/>
      <top>
        <color indexed="63"/>
      </top>
      <bottom style="thick"/>
    </border>
    <border>
      <left style="thick"/>
      <right style="thin"/>
      <top style="thick"/>
      <bottom>
        <color indexed="63"/>
      </bottom>
    </border>
    <border>
      <left style="thick"/>
      <right style="thin"/>
      <top>
        <color indexed="63"/>
      </top>
      <bottom>
        <color indexed="63"/>
      </bottom>
    </border>
    <border>
      <left style="thick"/>
      <right style="thick"/>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1" fillId="20" borderId="0" applyNumberFormat="0" applyBorder="0" applyAlignment="0" applyProtection="0"/>
    <xf numFmtId="0" fontId="4" fillId="0" borderId="0" applyNumberFormat="0" applyFill="0" applyBorder="0" applyAlignment="0" applyProtection="0"/>
    <xf numFmtId="0" fontId="42" fillId="21"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43" fillId="0" borderId="2" applyNumberFormat="0" applyFill="0" applyAlignment="0" applyProtection="0"/>
    <xf numFmtId="0" fontId="44" fillId="0" borderId="3" applyNumberFormat="0" applyFill="0" applyAlignment="0" applyProtection="0"/>
    <xf numFmtId="0" fontId="45" fillId="0" borderId="4"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2"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3" borderId="5" applyNumberFormat="0" applyFont="0" applyAlignment="0" applyProtection="0"/>
    <xf numFmtId="0" fontId="48" fillId="0" borderId="6" applyNumberFormat="0" applyFill="0" applyAlignment="0" applyProtection="0"/>
    <xf numFmtId="0" fontId="49" fillId="0" borderId="7" applyNumberFormat="0" applyFill="0" applyAlignment="0" applyProtection="0"/>
    <xf numFmtId="0" fontId="50" fillId="0" borderId="0" applyNumberFormat="0" applyFill="0" applyBorder="0" applyAlignment="0" applyProtection="0"/>
    <xf numFmtId="0" fontId="51" fillId="24" borderId="8" applyNumberFormat="0" applyAlignment="0" applyProtection="0"/>
    <xf numFmtId="0" fontId="52" fillId="25" borderId="8" applyNumberFormat="0" applyAlignment="0" applyProtection="0"/>
    <xf numFmtId="0" fontId="53" fillId="25" borderId="9" applyNumberFormat="0" applyAlignment="0" applyProtection="0"/>
    <xf numFmtId="0" fontId="54" fillId="0" borderId="0" applyNumberFormat="0" applyFill="0" applyBorder="0" applyAlignment="0" applyProtection="0"/>
    <xf numFmtId="0" fontId="55" fillId="26" borderId="0" applyNumberFormat="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cellStyleXfs>
  <cellXfs count="243">
    <xf numFmtId="0" fontId="0" fillId="0" borderId="0" xfId="0" applyAlignment="1">
      <alignment/>
    </xf>
    <xf numFmtId="0" fontId="0" fillId="0" borderId="0" xfId="0" applyFill="1" applyAlignment="1">
      <alignment/>
    </xf>
    <xf numFmtId="0" fontId="0" fillId="0" borderId="10" xfId="0" applyFill="1" applyBorder="1" applyAlignment="1">
      <alignment/>
    </xf>
    <xf numFmtId="0" fontId="0" fillId="0" borderId="11" xfId="0" applyFill="1" applyBorder="1" applyAlignment="1">
      <alignment/>
    </xf>
    <xf numFmtId="2" fontId="0" fillId="0" borderId="10" xfId="0" applyNumberFormat="1" applyFill="1" applyBorder="1" applyAlignment="1">
      <alignment/>
    </xf>
    <xf numFmtId="2" fontId="0" fillId="0" borderId="11" xfId="0" applyNumberFormat="1" applyFill="1" applyBorder="1" applyAlignment="1">
      <alignment/>
    </xf>
    <xf numFmtId="0" fontId="2" fillId="33" borderId="12" xfId="0" applyFont="1" applyFill="1" applyBorder="1" applyAlignment="1">
      <alignment/>
    </xf>
    <xf numFmtId="0" fontId="0" fillId="33" borderId="13" xfId="0"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4" borderId="12" xfId="0" applyFont="1" applyFill="1" applyBorder="1" applyAlignment="1">
      <alignment/>
    </xf>
    <xf numFmtId="0" fontId="2" fillId="34" borderId="13" xfId="0" applyFont="1" applyFill="1" applyBorder="1" applyAlignment="1">
      <alignment/>
    </xf>
    <xf numFmtId="0" fontId="2" fillId="34" borderId="14" xfId="0" applyFont="1" applyFill="1" applyBorder="1" applyAlignment="1">
      <alignment/>
    </xf>
    <xf numFmtId="0" fontId="2" fillId="34" borderId="15" xfId="0" applyFont="1" applyFill="1" applyBorder="1" applyAlignment="1">
      <alignment/>
    </xf>
    <xf numFmtId="0" fontId="2" fillId="35" borderId="12" xfId="0" applyFont="1" applyFill="1" applyBorder="1" applyAlignment="1">
      <alignment/>
    </xf>
    <xf numFmtId="0" fontId="0" fillId="35" borderId="13" xfId="0" applyFill="1" applyBorder="1" applyAlignment="1">
      <alignment/>
    </xf>
    <xf numFmtId="0" fontId="2" fillId="35" borderId="14" xfId="0" applyFont="1" applyFill="1" applyBorder="1" applyAlignment="1">
      <alignment/>
    </xf>
    <xf numFmtId="0" fontId="2" fillId="35" borderId="15" xfId="0" applyFont="1" applyFill="1"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36" borderId="10" xfId="0" applyFill="1" applyBorder="1" applyAlignment="1">
      <alignment/>
    </xf>
    <xf numFmtId="0" fontId="0" fillId="36" borderId="11" xfId="0" applyFill="1" applyBorder="1" applyAlignment="1">
      <alignment/>
    </xf>
    <xf numFmtId="0" fontId="0" fillId="0" borderId="12" xfId="0" applyFill="1" applyBorder="1" applyAlignment="1">
      <alignment/>
    </xf>
    <xf numFmtId="0" fontId="0" fillId="0" borderId="13" xfId="0" applyFill="1" applyBorder="1" applyAlignment="1">
      <alignment/>
    </xf>
    <xf numFmtId="1" fontId="0" fillId="36" borderId="10" xfId="0" applyNumberFormat="1" applyFill="1" applyBorder="1" applyAlignment="1">
      <alignment/>
    </xf>
    <xf numFmtId="1" fontId="0" fillId="0" borderId="10" xfId="0" applyNumberFormat="1" applyFill="1" applyBorder="1" applyAlignment="1">
      <alignment/>
    </xf>
    <xf numFmtId="2" fontId="0" fillId="36" borderId="21" xfId="0" applyNumberFormat="1" applyFill="1" applyBorder="1" applyAlignment="1">
      <alignment/>
    </xf>
    <xf numFmtId="1" fontId="0" fillId="36" borderId="11" xfId="0" applyNumberFormat="1" applyFill="1" applyBorder="1" applyAlignment="1">
      <alignment/>
    </xf>
    <xf numFmtId="1" fontId="0" fillId="0" borderId="11" xfId="0" applyNumberFormat="1" applyFill="1" applyBorder="1" applyAlignment="1">
      <alignment/>
    </xf>
    <xf numFmtId="2" fontId="0" fillId="36" borderId="22" xfId="0" applyNumberFormat="1" applyFill="1" applyBorder="1" applyAlignment="1">
      <alignment/>
    </xf>
    <xf numFmtId="0" fontId="0" fillId="37" borderId="17" xfId="0" applyFill="1" applyBorder="1" applyAlignment="1" applyProtection="1">
      <alignment/>
      <protection locked="0"/>
    </xf>
    <xf numFmtId="0" fontId="0" fillId="37" borderId="20" xfId="0" applyFill="1" applyBorder="1" applyAlignment="1" applyProtection="1">
      <alignment horizontal="right"/>
      <protection locked="0"/>
    </xf>
    <xf numFmtId="1" fontId="0" fillId="37" borderId="20" xfId="0" applyNumberFormat="1" applyFill="1" applyBorder="1" applyAlignment="1" applyProtection="1">
      <alignment/>
      <protection locked="0"/>
    </xf>
    <xf numFmtId="2" fontId="0" fillId="37" borderId="19" xfId="0" applyNumberFormat="1" applyFill="1" applyBorder="1" applyAlignment="1" applyProtection="1">
      <alignment/>
      <protection locked="0"/>
    </xf>
    <xf numFmtId="2" fontId="0" fillId="37" borderId="20" xfId="0" applyNumberFormat="1" applyFill="1" applyBorder="1" applyAlignment="1" applyProtection="1">
      <alignment horizontal="right"/>
      <protection locked="0"/>
    </xf>
    <xf numFmtId="0" fontId="0" fillId="38" borderId="12" xfId="0" applyFill="1" applyBorder="1" applyAlignment="1">
      <alignment/>
    </xf>
    <xf numFmtId="49" fontId="0" fillId="38" borderId="23" xfId="0" applyNumberFormat="1" applyFill="1" applyBorder="1" applyAlignment="1">
      <alignment/>
    </xf>
    <xf numFmtId="0" fontId="0" fillId="38" borderId="23" xfId="0" applyFill="1" applyBorder="1" applyAlignment="1">
      <alignment/>
    </xf>
    <xf numFmtId="0" fontId="0" fillId="38" borderId="13" xfId="0" applyFill="1" applyBorder="1" applyAlignment="1">
      <alignment/>
    </xf>
    <xf numFmtId="2" fontId="0" fillId="38" borderId="13" xfId="0" applyNumberFormat="1" applyFill="1" applyBorder="1" applyAlignment="1">
      <alignment/>
    </xf>
    <xf numFmtId="0" fontId="0" fillId="38" borderId="24" xfId="0" applyFill="1" applyBorder="1" applyAlignment="1">
      <alignment/>
    </xf>
    <xf numFmtId="2" fontId="0" fillId="38" borderId="25" xfId="0" applyNumberFormat="1" applyFill="1" applyBorder="1" applyAlignment="1">
      <alignment/>
    </xf>
    <xf numFmtId="0" fontId="0" fillId="38" borderId="10" xfId="0" applyFill="1" applyBorder="1" applyAlignment="1">
      <alignment/>
    </xf>
    <xf numFmtId="49" fontId="0" fillId="38" borderId="26" xfId="0" applyNumberFormat="1" applyFill="1" applyBorder="1" applyAlignment="1">
      <alignment/>
    </xf>
    <xf numFmtId="0" fontId="0" fillId="38" borderId="26" xfId="0" applyFill="1" applyBorder="1" applyAlignment="1">
      <alignment/>
    </xf>
    <xf numFmtId="0" fontId="0" fillId="38" borderId="11" xfId="0" applyFill="1" applyBorder="1" applyAlignment="1">
      <alignment/>
    </xf>
    <xf numFmtId="2" fontId="0" fillId="38" borderId="11" xfId="0" applyNumberFormat="1" applyFill="1" applyBorder="1" applyAlignment="1">
      <alignment/>
    </xf>
    <xf numFmtId="0" fontId="0" fillId="39" borderId="10" xfId="0" applyFill="1" applyBorder="1" applyAlignment="1">
      <alignment/>
    </xf>
    <xf numFmtId="49" fontId="0" fillId="39" borderId="26" xfId="0" applyNumberFormat="1" applyFill="1" applyBorder="1" applyAlignment="1">
      <alignment/>
    </xf>
    <xf numFmtId="0" fontId="0" fillId="39" borderId="26" xfId="0" applyFill="1" applyBorder="1" applyAlignment="1">
      <alignment/>
    </xf>
    <xf numFmtId="0" fontId="0" fillId="39" borderId="11" xfId="0" applyFill="1" applyBorder="1" applyAlignment="1">
      <alignment/>
    </xf>
    <xf numFmtId="2" fontId="0" fillId="39" borderId="11" xfId="0" applyNumberFormat="1" applyFill="1" applyBorder="1" applyAlignment="1">
      <alignment/>
    </xf>
    <xf numFmtId="0" fontId="0" fillId="0" borderId="10" xfId="0" applyBorder="1" applyAlignment="1">
      <alignment/>
    </xf>
    <xf numFmtId="49" fontId="0" fillId="0" borderId="26" xfId="0" applyNumberFormat="1" applyBorder="1" applyAlignment="1">
      <alignment/>
    </xf>
    <xf numFmtId="0" fontId="0" fillId="0" borderId="26" xfId="0" applyBorder="1" applyAlignment="1">
      <alignment/>
    </xf>
    <xf numFmtId="0" fontId="0" fillId="0" borderId="11" xfId="0" applyBorder="1" applyAlignment="1">
      <alignment/>
    </xf>
    <xf numFmtId="2" fontId="0" fillId="0" borderId="11" xfId="0" applyNumberFormat="1" applyBorder="1" applyAlignment="1">
      <alignment/>
    </xf>
    <xf numFmtId="0" fontId="0" fillId="0" borderId="21" xfId="0" applyBorder="1" applyAlignment="1">
      <alignment/>
    </xf>
    <xf numFmtId="0" fontId="0" fillId="0" borderId="22" xfId="0" applyBorder="1" applyAlignment="1">
      <alignment/>
    </xf>
    <xf numFmtId="2" fontId="0" fillId="0" borderId="22" xfId="0" applyNumberFormat="1" applyBorder="1" applyAlignment="1">
      <alignment/>
    </xf>
    <xf numFmtId="2" fontId="0" fillId="0" borderId="22" xfId="0" applyNumberFormat="1" applyFill="1" applyBorder="1" applyAlignment="1">
      <alignment/>
    </xf>
    <xf numFmtId="2" fontId="0" fillId="0" borderId="0" xfId="0" applyNumberFormat="1" applyAlignment="1">
      <alignment/>
    </xf>
    <xf numFmtId="0" fontId="0" fillId="0" borderId="0" xfId="0" applyFill="1" applyAlignment="1">
      <alignment horizontal="right"/>
    </xf>
    <xf numFmtId="0" fontId="0" fillId="0" borderId="0" xfId="0" applyFill="1" applyAlignment="1">
      <alignment horizontal="center"/>
    </xf>
    <xf numFmtId="0" fontId="0" fillId="0" borderId="19" xfId="0" applyFill="1" applyBorder="1" applyAlignment="1">
      <alignment horizontal="left"/>
    </xf>
    <xf numFmtId="0" fontId="0" fillId="0" borderId="19" xfId="0" applyBorder="1" applyAlignment="1">
      <alignment horizontal="left"/>
    </xf>
    <xf numFmtId="0" fontId="0" fillId="0" borderId="20" xfId="0" applyFill="1" applyBorder="1" applyAlignment="1">
      <alignment horizontal="left"/>
    </xf>
    <xf numFmtId="0" fontId="0" fillId="0" borderId="27" xfId="0" applyFill="1" applyBorder="1" applyAlignment="1">
      <alignment horizontal="left"/>
    </xf>
    <xf numFmtId="0" fontId="2" fillId="40" borderId="28" xfId="0" applyFont="1" applyFill="1" applyBorder="1" applyAlignment="1">
      <alignment horizontal="left"/>
    </xf>
    <xf numFmtId="0" fontId="0" fillId="0" borderId="29" xfId="0" applyFill="1" applyBorder="1" applyAlignment="1">
      <alignment horizontal="left"/>
    </xf>
    <xf numFmtId="0" fontId="2" fillId="38" borderId="28" xfId="0" applyFont="1" applyFill="1" applyBorder="1" applyAlignment="1">
      <alignment horizontal="left"/>
    </xf>
    <xf numFmtId="0" fontId="2" fillId="41" borderId="28" xfId="0" applyFont="1" applyFill="1" applyBorder="1" applyAlignment="1">
      <alignment horizontal="left"/>
    </xf>
    <xf numFmtId="0" fontId="2" fillId="42" borderId="28" xfId="0" applyFont="1" applyFill="1" applyBorder="1" applyAlignment="1">
      <alignment horizontal="left"/>
    </xf>
    <xf numFmtId="0" fontId="6" fillId="43" borderId="28" xfId="0" applyFont="1" applyFill="1" applyBorder="1" applyAlignment="1">
      <alignment horizontal="left"/>
    </xf>
    <xf numFmtId="0" fontId="0" fillId="0" borderId="27" xfId="0" applyBorder="1" applyAlignment="1">
      <alignment horizontal="left"/>
    </xf>
    <xf numFmtId="0" fontId="0" fillId="0" borderId="20" xfId="0" applyBorder="1" applyAlignment="1">
      <alignment horizontal="left"/>
    </xf>
    <xf numFmtId="2" fontId="0" fillId="38" borderId="30" xfId="0" applyNumberFormat="1" applyFill="1" applyBorder="1" applyAlignment="1">
      <alignment/>
    </xf>
    <xf numFmtId="2" fontId="0" fillId="38" borderId="31" xfId="0" applyNumberFormat="1" applyFill="1" applyBorder="1" applyAlignment="1">
      <alignment/>
    </xf>
    <xf numFmtId="2" fontId="0" fillId="39" borderId="31" xfId="0" applyNumberFormat="1" applyFill="1" applyBorder="1" applyAlignment="1">
      <alignment/>
    </xf>
    <xf numFmtId="2" fontId="0" fillId="39" borderId="32" xfId="0" applyNumberFormat="1" applyFill="1" applyBorder="1" applyAlignment="1">
      <alignment/>
    </xf>
    <xf numFmtId="0" fontId="0" fillId="0" borderId="33" xfId="0" applyFill="1" applyBorder="1" applyAlignment="1">
      <alignment/>
    </xf>
    <xf numFmtId="2" fontId="0" fillId="0" borderId="34" xfId="0" applyNumberFormat="1" applyFill="1" applyBorder="1" applyAlignment="1">
      <alignment/>
    </xf>
    <xf numFmtId="2" fontId="0" fillId="0" borderId="33" xfId="0" applyNumberFormat="1" applyFill="1" applyBorder="1" applyAlignment="1">
      <alignment/>
    </xf>
    <xf numFmtId="0" fontId="0" fillId="0" borderId="35" xfId="0" applyFill="1" applyBorder="1" applyAlignment="1">
      <alignment/>
    </xf>
    <xf numFmtId="2" fontId="0" fillId="0" borderId="31" xfId="0" applyNumberFormat="1" applyFill="1" applyBorder="1" applyAlignment="1">
      <alignment/>
    </xf>
    <xf numFmtId="2" fontId="0" fillId="0" borderId="35" xfId="0" applyNumberFormat="1" applyFill="1" applyBorder="1" applyAlignment="1">
      <alignment/>
    </xf>
    <xf numFmtId="49" fontId="2" fillId="39" borderId="19" xfId="0" applyNumberFormat="1" applyFont="1" applyFill="1" applyBorder="1" applyAlignment="1">
      <alignment/>
    </xf>
    <xf numFmtId="49" fontId="2" fillId="0" borderId="20" xfId="0" applyNumberFormat="1" applyFont="1" applyBorder="1" applyAlignment="1">
      <alignment/>
    </xf>
    <xf numFmtId="0" fontId="0" fillId="0" borderId="36" xfId="0" applyFill="1" applyBorder="1" applyAlignment="1">
      <alignment horizontal="left" vertical="center" wrapText="1"/>
    </xf>
    <xf numFmtId="0" fontId="0" fillId="0" borderId="36" xfId="0" applyBorder="1" applyAlignment="1">
      <alignment/>
    </xf>
    <xf numFmtId="0" fontId="2" fillId="44" borderId="37" xfId="0" applyFont="1" applyFill="1" applyBorder="1" applyAlignment="1">
      <alignment/>
    </xf>
    <xf numFmtId="0" fontId="2" fillId="44" borderId="38" xfId="0" applyFont="1" applyFill="1" applyBorder="1" applyAlignment="1">
      <alignment/>
    </xf>
    <xf numFmtId="0" fontId="2" fillId="45" borderId="37" xfId="0" applyFont="1" applyFill="1" applyBorder="1" applyAlignment="1">
      <alignment/>
    </xf>
    <xf numFmtId="0" fontId="2" fillId="45" borderId="38" xfId="0" applyFont="1" applyFill="1" applyBorder="1" applyAlignment="1">
      <alignment/>
    </xf>
    <xf numFmtId="0" fontId="2" fillId="35" borderId="37" xfId="0" applyFont="1" applyFill="1" applyBorder="1" applyAlignment="1">
      <alignment/>
    </xf>
    <xf numFmtId="0" fontId="2" fillId="35" borderId="36" xfId="0" applyFont="1" applyFill="1" applyBorder="1" applyAlignment="1">
      <alignment/>
    </xf>
    <xf numFmtId="0" fontId="2" fillId="33" borderId="37" xfId="0" applyFont="1" applyFill="1" applyBorder="1" applyAlignment="1">
      <alignment/>
    </xf>
    <xf numFmtId="0" fontId="2" fillId="33" borderId="38" xfId="0" applyFont="1" applyFill="1" applyBorder="1" applyAlignment="1">
      <alignment/>
    </xf>
    <xf numFmtId="0" fontId="0" fillId="0" borderId="12" xfId="0" applyBorder="1" applyAlignment="1">
      <alignment/>
    </xf>
    <xf numFmtId="0" fontId="0" fillId="0" borderId="39" xfId="0" applyBorder="1" applyAlignment="1">
      <alignment/>
    </xf>
    <xf numFmtId="1" fontId="0" fillId="0" borderId="13" xfId="0" applyNumberFormat="1" applyBorder="1" applyAlignment="1">
      <alignment/>
    </xf>
    <xf numFmtId="0" fontId="0" fillId="0" borderId="40" xfId="0" applyBorder="1" applyAlignment="1">
      <alignment/>
    </xf>
    <xf numFmtId="0" fontId="0" fillId="0" borderId="41" xfId="0" applyBorder="1" applyAlignment="1">
      <alignment/>
    </xf>
    <xf numFmtId="1" fontId="0" fillId="0" borderId="11" xfId="0" applyNumberFormat="1" applyBorder="1" applyAlignment="1">
      <alignment/>
    </xf>
    <xf numFmtId="0" fontId="0" fillId="0" borderId="42" xfId="0" applyBorder="1" applyAlignment="1">
      <alignment/>
    </xf>
    <xf numFmtId="0" fontId="0" fillId="0" borderId="41" xfId="0" applyFill="1" applyBorder="1" applyAlignment="1">
      <alignment/>
    </xf>
    <xf numFmtId="0" fontId="0" fillId="0" borderId="43" xfId="0" applyBorder="1" applyAlignment="1">
      <alignment/>
    </xf>
    <xf numFmtId="0" fontId="0" fillId="0" borderId="21" xfId="0" applyFill="1" applyBorder="1" applyAlignment="1">
      <alignment/>
    </xf>
    <xf numFmtId="0" fontId="0" fillId="0" borderId="43" xfId="0" applyFill="1" applyBorder="1" applyAlignment="1">
      <alignment/>
    </xf>
    <xf numFmtId="1" fontId="0" fillId="0" borderId="22" xfId="0" applyNumberFormat="1" applyBorder="1" applyAlignment="1">
      <alignment/>
    </xf>
    <xf numFmtId="0" fontId="0" fillId="0" borderId="44" xfId="0" applyBorder="1" applyAlignment="1">
      <alignment/>
    </xf>
    <xf numFmtId="1" fontId="0" fillId="0" borderId="45" xfId="0" applyNumberFormat="1" applyBorder="1" applyAlignment="1">
      <alignment/>
    </xf>
    <xf numFmtId="0" fontId="2" fillId="37" borderId="28" xfId="0" applyFont="1" applyFill="1" applyBorder="1" applyAlignment="1">
      <alignment/>
    </xf>
    <xf numFmtId="1" fontId="0" fillId="37" borderId="46" xfId="0" applyNumberFormat="1" applyFill="1" applyBorder="1" applyAlignment="1">
      <alignment/>
    </xf>
    <xf numFmtId="0" fontId="0" fillId="0" borderId="36" xfId="0" applyFill="1" applyBorder="1" applyAlignment="1">
      <alignment/>
    </xf>
    <xf numFmtId="0" fontId="0" fillId="0" borderId="0" xfId="0" applyAlignment="1">
      <alignment horizontal="right"/>
    </xf>
    <xf numFmtId="1" fontId="0" fillId="0" borderId="0" xfId="0" applyNumberFormat="1" applyAlignment="1">
      <alignment/>
    </xf>
    <xf numFmtId="1" fontId="0" fillId="0" borderId="0" xfId="0" applyNumberFormat="1" applyFill="1" applyAlignment="1">
      <alignment/>
    </xf>
    <xf numFmtId="2" fontId="0" fillId="0" borderId="0" xfId="0" applyNumberFormat="1" applyFill="1" applyAlignment="1">
      <alignment/>
    </xf>
    <xf numFmtId="0" fontId="2" fillId="46" borderId="28" xfId="0" applyFont="1" applyFill="1" applyBorder="1" applyAlignment="1">
      <alignment/>
    </xf>
    <xf numFmtId="2" fontId="0" fillId="46" borderId="46" xfId="0" applyNumberFormat="1" applyFill="1" applyBorder="1" applyAlignment="1">
      <alignment/>
    </xf>
    <xf numFmtId="0" fontId="2" fillId="46" borderId="28" xfId="0" applyFont="1" applyFill="1" applyBorder="1" applyAlignment="1">
      <alignment horizontal="left" vertical="center" wrapText="1"/>
    </xf>
    <xf numFmtId="0" fontId="0" fillId="46" borderId="38" xfId="0" applyFill="1" applyBorder="1" applyAlignment="1">
      <alignment horizontal="left" vertical="center" wrapText="1"/>
    </xf>
    <xf numFmtId="0" fontId="0" fillId="46" borderId="37" xfId="0" applyFill="1" applyBorder="1" applyAlignment="1">
      <alignment/>
    </xf>
    <xf numFmtId="1" fontId="0" fillId="46" borderId="46" xfId="0" applyNumberFormat="1" applyFill="1" applyBorder="1" applyAlignment="1">
      <alignment/>
    </xf>
    <xf numFmtId="0" fontId="2" fillId="44" borderId="46" xfId="0" applyFont="1" applyFill="1" applyBorder="1" applyAlignment="1">
      <alignment/>
    </xf>
    <xf numFmtId="0" fontId="0" fillId="0" borderId="47" xfId="0" applyFill="1" applyBorder="1" applyAlignment="1">
      <alignment/>
    </xf>
    <xf numFmtId="0" fontId="0" fillId="0" borderId="48" xfId="0" applyFill="1" applyBorder="1" applyAlignment="1">
      <alignment/>
    </xf>
    <xf numFmtId="0" fontId="0" fillId="0" borderId="49" xfId="0" applyFill="1" applyBorder="1" applyAlignment="1">
      <alignment/>
    </xf>
    <xf numFmtId="1" fontId="0" fillId="37" borderId="50" xfId="0" applyNumberFormat="1" applyFill="1" applyBorder="1" applyAlignment="1">
      <alignment/>
    </xf>
    <xf numFmtId="0" fontId="0" fillId="0" borderId="30" xfId="0" applyFill="1" applyBorder="1" applyAlignment="1">
      <alignment/>
    </xf>
    <xf numFmtId="0" fontId="0" fillId="37" borderId="46" xfId="0" applyFill="1" applyBorder="1" applyAlignment="1">
      <alignment/>
    </xf>
    <xf numFmtId="0" fontId="0" fillId="0" borderId="51" xfId="0" applyBorder="1" applyAlignment="1">
      <alignment/>
    </xf>
    <xf numFmtId="0" fontId="2" fillId="44" borderId="52" xfId="0" applyFont="1" applyFill="1" applyBorder="1" applyAlignment="1">
      <alignment/>
    </xf>
    <xf numFmtId="0" fontId="0" fillId="0" borderId="53" xfId="0" applyBorder="1" applyAlignment="1">
      <alignment/>
    </xf>
    <xf numFmtId="49" fontId="0" fillId="0" borderId="54" xfId="0" applyNumberFormat="1" applyBorder="1" applyAlignment="1">
      <alignment/>
    </xf>
    <xf numFmtId="0" fontId="0" fillId="0" borderId="54" xfId="0" applyBorder="1" applyAlignment="1">
      <alignment/>
    </xf>
    <xf numFmtId="0" fontId="0" fillId="0" borderId="45" xfId="0" applyBorder="1" applyAlignment="1">
      <alignment/>
    </xf>
    <xf numFmtId="0" fontId="0" fillId="0" borderId="53" xfId="0" applyFill="1" applyBorder="1" applyAlignment="1">
      <alignment/>
    </xf>
    <xf numFmtId="2" fontId="0" fillId="0" borderId="45" xfId="0" applyNumberFormat="1" applyFill="1" applyBorder="1" applyAlignment="1">
      <alignment/>
    </xf>
    <xf numFmtId="2" fontId="0" fillId="0" borderId="45" xfId="0" applyNumberFormat="1" applyBorder="1" applyAlignment="1">
      <alignment/>
    </xf>
    <xf numFmtId="49" fontId="2" fillId="38" borderId="27" xfId="0" applyNumberFormat="1" applyFont="1" applyFill="1" applyBorder="1" applyAlignment="1">
      <alignment/>
    </xf>
    <xf numFmtId="0" fontId="0" fillId="38" borderId="25" xfId="0" applyFill="1" applyBorder="1" applyAlignment="1">
      <alignment/>
    </xf>
    <xf numFmtId="49" fontId="2" fillId="37" borderId="28" xfId="0" applyNumberFormat="1" applyFont="1" applyFill="1" applyBorder="1" applyAlignment="1">
      <alignment/>
    </xf>
    <xf numFmtId="0" fontId="0" fillId="0" borderId="37" xfId="0" applyFill="1" applyBorder="1" applyAlignment="1">
      <alignment/>
    </xf>
    <xf numFmtId="2" fontId="0" fillId="37" borderId="46" xfId="0" applyNumberFormat="1" applyFill="1" applyBorder="1" applyAlignment="1">
      <alignment/>
    </xf>
    <xf numFmtId="2" fontId="0" fillId="0" borderId="37" xfId="0" applyNumberFormat="1" applyFill="1" applyBorder="1" applyAlignment="1">
      <alignment/>
    </xf>
    <xf numFmtId="0" fontId="2" fillId="47" borderId="37" xfId="0" applyFont="1" applyFill="1" applyBorder="1" applyAlignment="1">
      <alignment/>
    </xf>
    <xf numFmtId="0" fontId="2" fillId="47" borderId="46" xfId="0" applyFont="1" applyFill="1" applyBorder="1" applyAlignment="1">
      <alignment/>
    </xf>
    <xf numFmtId="0" fontId="2" fillId="45" borderId="46" xfId="0" applyFont="1" applyFill="1" applyBorder="1" applyAlignment="1">
      <alignment/>
    </xf>
    <xf numFmtId="0" fontId="2" fillId="35" borderId="46" xfId="0" applyFont="1" applyFill="1" applyBorder="1" applyAlignment="1">
      <alignment/>
    </xf>
    <xf numFmtId="0" fontId="2" fillId="33" borderId="46" xfId="0" applyFont="1" applyFill="1" applyBorder="1" applyAlignment="1">
      <alignment/>
    </xf>
    <xf numFmtId="0" fontId="2" fillId="42" borderId="37" xfId="0" applyFont="1" applyFill="1" applyBorder="1" applyAlignment="1">
      <alignment/>
    </xf>
    <xf numFmtId="0" fontId="2" fillId="42" borderId="46" xfId="0" applyFont="1" applyFill="1" applyBorder="1" applyAlignment="1">
      <alignment/>
    </xf>
    <xf numFmtId="0" fontId="0" fillId="0" borderId="51" xfId="0" applyFill="1" applyBorder="1" applyAlignment="1">
      <alignment/>
    </xf>
    <xf numFmtId="49" fontId="0" fillId="0" borderId="36" xfId="0" applyNumberFormat="1" applyFill="1" applyBorder="1" applyAlignment="1">
      <alignment/>
    </xf>
    <xf numFmtId="49" fontId="0" fillId="0" borderId="55" xfId="0" applyNumberFormat="1" applyFill="1" applyBorder="1" applyAlignment="1">
      <alignment/>
    </xf>
    <xf numFmtId="0" fontId="0" fillId="0" borderId="55" xfId="0" applyFill="1" applyBorder="1" applyAlignment="1">
      <alignment/>
    </xf>
    <xf numFmtId="49" fontId="0" fillId="0" borderId="0" xfId="0" applyNumberFormat="1" applyFill="1" applyBorder="1" applyAlignment="1">
      <alignment/>
    </xf>
    <xf numFmtId="0" fontId="0" fillId="0" borderId="0" xfId="0" applyFill="1" applyBorder="1" applyAlignment="1">
      <alignment/>
    </xf>
    <xf numFmtId="0" fontId="0" fillId="0" borderId="31" xfId="0" applyFill="1" applyBorder="1" applyAlignment="1">
      <alignment/>
    </xf>
    <xf numFmtId="49" fontId="0" fillId="0" borderId="49" xfId="0" applyNumberFormat="1" applyFill="1" applyBorder="1" applyAlignment="1">
      <alignment/>
    </xf>
    <xf numFmtId="0" fontId="0" fillId="0" borderId="56" xfId="0" applyFill="1" applyBorder="1" applyAlignment="1">
      <alignment/>
    </xf>
    <xf numFmtId="0" fontId="0" fillId="0" borderId="57" xfId="0" applyFill="1" applyBorder="1" applyAlignment="1">
      <alignment/>
    </xf>
    <xf numFmtId="0" fontId="0" fillId="0" borderId="58" xfId="0" applyFill="1" applyBorder="1" applyAlignment="1">
      <alignment/>
    </xf>
    <xf numFmtId="0" fontId="0" fillId="0" borderId="14" xfId="0" applyFill="1" applyBorder="1" applyAlignment="1">
      <alignment/>
    </xf>
    <xf numFmtId="0" fontId="0" fillId="0" borderId="38" xfId="0" applyFill="1" applyBorder="1" applyAlignment="1">
      <alignment/>
    </xf>
    <xf numFmtId="2" fontId="0" fillId="0" borderId="41" xfId="0" applyNumberFormat="1" applyFill="1" applyBorder="1" applyAlignment="1">
      <alignment/>
    </xf>
    <xf numFmtId="2" fontId="0" fillId="38" borderId="57" xfId="0" applyNumberFormat="1" applyFill="1" applyBorder="1" applyAlignment="1">
      <alignment/>
    </xf>
    <xf numFmtId="2" fontId="0" fillId="38" borderId="58" xfId="0" applyNumberFormat="1" applyFill="1" applyBorder="1" applyAlignment="1">
      <alignment/>
    </xf>
    <xf numFmtId="2" fontId="0" fillId="39" borderId="58" xfId="0" applyNumberFormat="1" applyFill="1" applyBorder="1" applyAlignment="1">
      <alignment/>
    </xf>
    <xf numFmtId="2" fontId="0" fillId="39" borderId="24" xfId="0" applyNumberFormat="1" applyFill="1" applyBorder="1" applyAlignment="1">
      <alignment/>
    </xf>
    <xf numFmtId="0" fontId="0" fillId="37" borderId="59" xfId="0" applyFill="1" applyBorder="1" applyAlignment="1" applyProtection="1">
      <alignment horizontal="right"/>
      <protection locked="0"/>
    </xf>
    <xf numFmtId="0" fontId="0" fillId="37" borderId="20" xfId="0" applyFont="1" applyFill="1" applyBorder="1" applyAlignment="1" applyProtection="1">
      <alignment horizontal="right"/>
      <protection locked="0"/>
    </xf>
    <xf numFmtId="2" fontId="0" fillId="0" borderId="0" xfId="0" applyNumberFormat="1" applyFill="1" applyBorder="1" applyAlignment="1">
      <alignment/>
    </xf>
    <xf numFmtId="2" fontId="7" fillId="48" borderId="28" xfId="0" applyNumberFormat="1" applyFont="1" applyFill="1" applyBorder="1" applyAlignment="1">
      <alignment/>
    </xf>
    <xf numFmtId="4" fontId="0" fillId="0" borderId="0" xfId="0" applyNumberFormat="1" applyFill="1" applyBorder="1" applyAlignment="1">
      <alignment/>
    </xf>
    <xf numFmtId="3" fontId="0" fillId="49" borderId="20" xfId="0" applyNumberFormat="1" applyFont="1" applyFill="1" applyBorder="1" applyAlignment="1">
      <alignment/>
    </xf>
    <xf numFmtId="4" fontId="0" fillId="49" borderId="20" xfId="0" applyNumberFormat="1" applyFont="1" applyFill="1" applyBorder="1" applyAlignment="1">
      <alignment/>
    </xf>
    <xf numFmtId="0" fontId="7" fillId="15" borderId="28" xfId="0" applyFont="1" applyFill="1" applyBorder="1" applyAlignment="1">
      <alignment/>
    </xf>
    <xf numFmtId="0" fontId="7" fillId="17" borderId="28" xfId="0" applyFont="1" applyFill="1" applyBorder="1" applyAlignment="1">
      <alignment/>
    </xf>
    <xf numFmtId="0" fontId="7" fillId="19" borderId="28" xfId="0" applyFont="1" applyFill="1" applyBorder="1" applyAlignment="1">
      <alignment/>
    </xf>
    <xf numFmtId="0" fontId="8" fillId="0" borderId="0" xfId="0" applyFont="1" applyAlignment="1">
      <alignment/>
    </xf>
    <xf numFmtId="0" fontId="0" fillId="0" borderId="0" xfId="0" applyBorder="1" applyAlignment="1">
      <alignment/>
    </xf>
    <xf numFmtId="3" fontId="0" fillId="49" borderId="19" xfId="0" applyNumberFormat="1" applyFill="1" applyBorder="1" applyAlignment="1">
      <alignment/>
    </xf>
    <xf numFmtId="3" fontId="0" fillId="49" borderId="59" xfId="0" applyNumberFormat="1" applyFill="1" applyBorder="1" applyAlignment="1">
      <alignment/>
    </xf>
    <xf numFmtId="4" fontId="0" fillId="49" borderId="20" xfId="0" applyNumberFormat="1" applyFill="1" applyBorder="1" applyAlignment="1">
      <alignment/>
    </xf>
    <xf numFmtId="0" fontId="2" fillId="50" borderId="29" xfId="0" applyFont="1" applyFill="1" applyBorder="1" applyAlignment="1">
      <alignment/>
    </xf>
    <xf numFmtId="0" fontId="2" fillId="50" borderId="27" xfId="0" applyFont="1" applyFill="1" applyBorder="1" applyAlignment="1">
      <alignment/>
    </xf>
    <xf numFmtId="0" fontId="0" fillId="50" borderId="59" xfId="0" applyFill="1" applyBorder="1" applyAlignment="1">
      <alignment horizontal="right"/>
    </xf>
    <xf numFmtId="0" fontId="0" fillId="50" borderId="20" xfId="0" applyFill="1" applyBorder="1" applyAlignment="1">
      <alignment horizontal="right"/>
    </xf>
    <xf numFmtId="0" fontId="2" fillId="50" borderId="19" xfId="0" applyFont="1" applyFill="1" applyBorder="1" applyAlignment="1">
      <alignment/>
    </xf>
    <xf numFmtId="0" fontId="10" fillId="0" borderId="0" xfId="0" applyFont="1" applyAlignment="1">
      <alignment/>
    </xf>
    <xf numFmtId="0" fontId="0" fillId="0" borderId="0" xfId="0" applyAlignment="1">
      <alignment wrapText="1"/>
    </xf>
    <xf numFmtId="0" fontId="0" fillId="37" borderId="20" xfId="0" applyFont="1" applyFill="1" applyBorder="1" applyAlignment="1" applyProtection="1">
      <alignment/>
      <protection locked="0"/>
    </xf>
    <xf numFmtId="0" fontId="0" fillId="0" borderId="35" xfId="0" applyFill="1" applyBorder="1" applyAlignment="1">
      <alignment/>
    </xf>
    <xf numFmtId="0" fontId="0" fillId="0" borderId="0" xfId="0" applyFill="1" applyAlignment="1">
      <alignment/>
    </xf>
    <xf numFmtId="0" fontId="0" fillId="51" borderId="0" xfId="0" applyFont="1" applyFill="1" applyAlignment="1">
      <alignment horizontal="left"/>
    </xf>
    <xf numFmtId="0" fontId="0" fillId="0" borderId="0" xfId="0" applyAlignment="1">
      <alignment/>
    </xf>
    <xf numFmtId="0" fontId="0" fillId="49" borderId="0" xfId="0" applyFont="1" applyFill="1" applyBorder="1" applyAlignment="1">
      <alignment/>
    </xf>
    <xf numFmtId="0" fontId="0" fillId="0" borderId="29" xfId="0" applyFont="1" applyFill="1" applyBorder="1" applyAlignment="1">
      <alignment horizontal="left"/>
    </xf>
    <xf numFmtId="0" fontId="0" fillId="0" borderId="0" xfId="0" applyFill="1" applyAlignment="1" applyProtection="1">
      <alignment/>
      <protection/>
    </xf>
    <xf numFmtId="0" fontId="0" fillId="52" borderId="17" xfId="0" applyFill="1" applyBorder="1" applyAlignment="1" applyProtection="1">
      <alignment/>
      <protection locked="0"/>
    </xf>
    <xf numFmtId="0" fontId="0" fillId="52" borderId="20" xfId="0" applyFont="1" applyFill="1" applyBorder="1" applyAlignment="1" applyProtection="1">
      <alignment horizontal="right"/>
      <protection locked="0"/>
    </xf>
    <xf numFmtId="1" fontId="0" fillId="52" borderId="20" xfId="0" applyNumberFormat="1" applyFill="1" applyBorder="1" applyAlignment="1" applyProtection="1">
      <alignment/>
      <protection locked="0"/>
    </xf>
    <xf numFmtId="2" fontId="0" fillId="52" borderId="19" xfId="0" applyNumberFormat="1" applyFill="1" applyBorder="1" applyAlignment="1" applyProtection="1">
      <alignment/>
      <protection locked="0"/>
    </xf>
    <xf numFmtId="2" fontId="0" fillId="52" borderId="20" xfId="0" applyNumberFormat="1" applyFont="1" applyFill="1" applyBorder="1" applyAlignment="1" applyProtection="1">
      <alignment horizontal="right"/>
      <protection locked="0"/>
    </xf>
    <xf numFmtId="0" fontId="0" fillId="52" borderId="0" xfId="0" applyFill="1" applyBorder="1" applyAlignment="1" applyProtection="1">
      <alignment/>
      <protection/>
    </xf>
    <xf numFmtId="0" fontId="0" fillId="37" borderId="0" xfId="0" applyFont="1" applyFill="1" applyBorder="1" applyAlignment="1" applyProtection="1">
      <alignment/>
      <protection/>
    </xf>
    <xf numFmtId="14" fontId="0" fillId="37" borderId="20" xfId="0" applyNumberFormat="1" applyFont="1" applyFill="1" applyBorder="1" applyAlignment="1" applyProtection="1">
      <alignment horizontal="right"/>
      <protection locked="0"/>
    </xf>
    <xf numFmtId="0" fontId="0" fillId="53" borderId="0" xfId="0" applyFill="1" applyAlignment="1" applyProtection="1">
      <alignment/>
      <protection/>
    </xf>
    <xf numFmtId="0" fontId="0" fillId="53" borderId="0" xfId="0" applyFill="1" applyAlignment="1" applyProtection="1">
      <alignment/>
      <protection/>
    </xf>
    <xf numFmtId="0" fontId="0" fillId="53" borderId="0" xfId="0" applyFill="1" applyAlignment="1" applyProtection="1">
      <alignment horizontal="center"/>
      <protection/>
    </xf>
    <xf numFmtId="0" fontId="7" fillId="54" borderId="28" xfId="0" applyFont="1" applyFill="1" applyBorder="1" applyAlignment="1">
      <alignment/>
    </xf>
    <xf numFmtId="2" fontId="7" fillId="55" borderId="28" xfId="0" applyNumberFormat="1" applyFont="1" applyFill="1" applyBorder="1" applyAlignment="1">
      <alignment/>
    </xf>
    <xf numFmtId="0" fontId="1" fillId="0" borderId="0" xfId="0" applyFont="1" applyAlignment="1">
      <alignment/>
    </xf>
    <xf numFmtId="0" fontId="8" fillId="0" borderId="0" xfId="0" applyFont="1" applyFill="1" applyAlignment="1" applyProtection="1">
      <alignment vertical="center"/>
      <protection/>
    </xf>
    <xf numFmtId="0" fontId="0" fillId="0" borderId="0" xfId="0" applyFill="1" applyAlignment="1" applyProtection="1">
      <alignment vertical="center"/>
      <protection/>
    </xf>
    <xf numFmtId="0" fontId="0" fillId="0" borderId="0" xfId="0" applyFill="1" applyAlignment="1" applyProtection="1">
      <alignment/>
      <protection/>
    </xf>
    <xf numFmtId="0" fontId="15" fillId="0" borderId="0" xfId="36" applyFont="1" applyFill="1" applyAlignment="1" applyProtection="1">
      <alignment vertical="top" wrapText="1"/>
      <protection/>
    </xf>
    <xf numFmtId="0" fontId="15" fillId="0" borderId="0" xfId="36" applyFont="1" applyFill="1" applyAlignment="1" applyProtection="1">
      <alignment wrapText="1"/>
      <protection/>
    </xf>
    <xf numFmtId="0" fontId="56" fillId="0" borderId="0" xfId="0" applyFont="1" applyFill="1" applyAlignment="1">
      <alignment horizontal="left" vertical="center" wrapText="1"/>
    </xf>
    <xf numFmtId="0" fontId="15" fillId="0" borderId="0" xfId="36" applyFont="1" applyFill="1" applyAlignment="1" applyProtection="1">
      <alignment horizontal="left" vertical="top" wrapText="1"/>
      <protection/>
    </xf>
    <xf numFmtId="0" fontId="13" fillId="0" borderId="0" xfId="0" applyFont="1" applyFill="1" applyAlignment="1">
      <alignment wrapText="1"/>
    </xf>
    <xf numFmtId="0" fontId="57" fillId="0" borderId="0" xfId="0" applyFont="1" applyFill="1" applyAlignment="1" applyProtection="1">
      <alignment/>
      <protection/>
    </xf>
    <xf numFmtId="0" fontId="0" fillId="0" borderId="0" xfId="0" applyFill="1" applyAlignment="1" applyProtection="1">
      <alignment/>
      <protection/>
    </xf>
    <xf numFmtId="0" fontId="8" fillId="0" borderId="0" xfId="0" applyFont="1" applyFill="1" applyAlignment="1">
      <alignment horizontal="right"/>
    </xf>
    <xf numFmtId="0" fontId="14" fillId="0" borderId="0" xfId="0" applyFont="1" applyFill="1" applyAlignment="1" applyProtection="1">
      <alignment horizontal="left" vertical="top" wrapText="1"/>
      <protection/>
    </xf>
    <xf numFmtId="0" fontId="14" fillId="0" borderId="0" xfId="0" applyFont="1" applyFill="1" applyAlignment="1" applyProtection="1">
      <alignment horizontal="left" vertical="top"/>
      <protection/>
    </xf>
    <xf numFmtId="0" fontId="14" fillId="0" borderId="0" xfId="0" applyFont="1" applyFill="1" applyAlignment="1">
      <alignment horizontal="left" vertical="top"/>
    </xf>
    <xf numFmtId="0" fontId="0" fillId="0" borderId="0" xfId="36" applyFont="1" applyAlignment="1" applyProtection="1">
      <alignment horizontal="right" vertical="top" wrapText="1"/>
      <protection/>
    </xf>
    <xf numFmtId="0" fontId="9" fillId="0" borderId="0" xfId="36" applyFont="1" applyAlignment="1" applyProtection="1">
      <alignment horizontal="right"/>
      <protection/>
    </xf>
    <xf numFmtId="0" fontId="11" fillId="56" borderId="0" xfId="0" applyFont="1" applyFill="1" applyAlignment="1">
      <alignment horizontal="right"/>
    </xf>
    <xf numFmtId="0" fontId="0" fillId="0" borderId="0" xfId="0" applyAlignment="1">
      <alignment horizontal="right"/>
    </xf>
    <xf numFmtId="0" fontId="0" fillId="57" borderId="18" xfId="0" applyFont="1" applyFill="1" applyBorder="1" applyAlignment="1">
      <alignment vertical="top" wrapText="1"/>
    </xf>
    <xf numFmtId="0" fontId="0" fillId="57" borderId="16" xfId="0" applyFill="1" applyBorder="1" applyAlignment="1">
      <alignment vertical="top" wrapText="1"/>
    </xf>
    <xf numFmtId="0" fontId="0" fillId="57" borderId="17" xfId="0" applyFill="1" applyBorder="1" applyAlignment="1">
      <alignment vertical="top" wrapText="1"/>
    </xf>
    <xf numFmtId="0" fontId="0" fillId="57" borderId="18" xfId="0" applyFont="1" applyFill="1" applyBorder="1" applyAlignment="1">
      <alignment horizontal="left" vertical="top" wrapText="1"/>
    </xf>
    <xf numFmtId="0" fontId="0" fillId="57" borderId="16" xfId="0" applyFill="1" applyBorder="1" applyAlignment="1">
      <alignment horizontal="left" vertical="top"/>
    </xf>
    <xf numFmtId="0" fontId="0" fillId="57" borderId="17" xfId="0" applyFill="1" applyBorder="1" applyAlignment="1">
      <alignment horizontal="left" vertical="top"/>
    </xf>
  </cellXfs>
  <cellStyles count="49">
    <cellStyle name="Normal" xfId="0"/>
    <cellStyle name="20 % - zvýraznenie1" xfId="15"/>
    <cellStyle name="20 % - zvýraznenie2" xfId="16"/>
    <cellStyle name="20 % - zvýraznenie3" xfId="17"/>
    <cellStyle name="20 % - zvýraznenie4" xfId="18"/>
    <cellStyle name="20 % - zvýraznenie5" xfId="19"/>
    <cellStyle name="20 % - zvýraznenie6" xfId="20"/>
    <cellStyle name="40 % - zvýraznenie1" xfId="21"/>
    <cellStyle name="40 % - zvýraznenie2" xfId="22"/>
    <cellStyle name="40 % - zvýraznenie3" xfId="23"/>
    <cellStyle name="40 % - zvýraznenie4" xfId="24"/>
    <cellStyle name="40 % - zvýraznenie5" xfId="25"/>
    <cellStyle name="40 % - zvýraznenie6" xfId="26"/>
    <cellStyle name="60 % - zvýraznenie1" xfId="27"/>
    <cellStyle name="60 % - zvýraznenie2" xfId="28"/>
    <cellStyle name="60 % - zvýraznenie3" xfId="29"/>
    <cellStyle name="60 % - zvýraznenie4" xfId="30"/>
    <cellStyle name="60 % - zvýraznenie5" xfId="31"/>
    <cellStyle name="60 % - zvýraznenie6" xfId="32"/>
    <cellStyle name="Comma" xfId="33"/>
    <cellStyle name="Comma [0]" xfId="34"/>
    <cellStyle name="Dobrá" xfId="35"/>
    <cellStyle name="Hyperlink" xfId="36"/>
    <cellStyle name="Kontrolná bunka" xfId="37"/>
    <cellStyle name="Currency" xfId="38"/>
    <cellStyle name="Currency [0]" xfId="39"/>
    <cellStyle name="Nadpis 1" xfId="40"/>
    <cellStyle name="Nadpis 2" xfId="41"/>
    <cellStyle name="Nadpis 3" xfId="42"/>
    <cellStyle name="Nadpis 4" xfId="43"/>
    <cellStyle name="Názov" xfId="44"/>
    <cellStyle name="Neutrálna" xfId="45"/>
    <cellStyle name="Percent" xfId="46"/>
    <cellStyle name="Followed Hyperlink" xfId="47"/>
    <cellStyle name="Poznámka" xfId="48"/>
    <cellStyle name="Prepojená bunka" xfId="49"/>
    <cellStyle name="Spolu" xfId="50"/>
    <cellStyle name="Text upozornenia" xfId="51"/>
    <cellStyle name="Vstup" xfId="52"/>
    <cellStyle name="Výpočet" xfId="53"/>
    <cellStyle name="Výstup" xfId="54"/>
    <cellStyle name="Vysvetľujúci text" xfId="55"/>
    <cellStyle name="Zlá" xfId="56"/>
    <cellStyle name="Zvýraznenie1" xfId="57"/>
    <cellStyle name="Zvýraznenie2" xfId="58"/>
    <cellStyle name="Zvýraznenie3" xfId="59"/>
    <cellStyle name="Zvýraznenie4" xfId="60"/>
    <cellStyle name="Zvýraznenie5" xfId="61"/>
    <cellStyle name="Zvýraznenie6" xfId="62"/>
  </cellStyles>
  <dxfs count="4">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impact-project.eu/" TargetMode="External" /><Relationship Id="rId3" Type="http://schemas.openxmlformats.org/officeDocument/2006/relationships/hyperlink" Target="http://www.impact-project.eu/" TargetMode="External" /><Relationship Id="rId4" Type="http://schemas.openxmlformats.org/officeDocument/2006/relationships/image" Target="../media/image2.jpeg" /><Relationship Id="rId5" Type="http://schemas.openxmlformats.org/officeDocument/2006/relationships/hyperlink" Target="http://www.impact-project.eu/" TargetMode="External" /><Relationship Id="rId6" Type="http://schemas.openxmlformats.org/officeDocument/2006/relationships/hyperlink" Target="http://www.impact-project.eu/" TargetMode="External" /><Relationship Id="rId7" Type="http://schemas.openxmlformats.org/officeDocument/2006/relationships/image" Target="../media/image3.jpeg" /><Relationship Id="rId8" Type="http://schemas.openxmlformats.org/officeDocument/2006/relationships/hyperlink" Target="http://www.muenchener-digitalisierungszentrum.de/" TargetMode="External" /><Relationship Id="rId9" Type="http://schemas.openxmlformats.org/officeDocument/2006/relationships/image" Target="../media/image4.png" /><Relationship Id="rId10" Type="http://schemas.openxmlformats.org/officeDocument/2006/relationships/hyperlink" Target="#'IMPACT Storage Estimator'!B10" /><Relationship Id="rId11" Type="http://schemas.openxmlformats.org/officeDocument/2006/relationships/hyperlink" Target="#'IMPACT Storage Estimator'!B10" /><Relationship Id="rId12" Type="http://schemas.openxmlformats.org/officeDocument/2006/relationships/hyperlink" Target="http://creativecommons.org/licenses/by-nc-sa/3.0/" TargetMode="External" /><Relationship Id="rId13" Type="http://schemas.openxmlformats.org/officeDocument/2006/relationships/image" Target="../media/image5.png" /><Relationship Id="rId14" Type="http://schemas.openxmlformats.org/officeDocument/2006/relationships/hyperlink" Target="http://creativecommons.org/licenses/by-nc-sa/3.0/" TargetMode="External" /><Relationship Id="rId15" Type="http://schemas.openxmlformats.org/officeDocument/2006/relationships/hyperlink" Target="http://creativecommons.org/licenses/by-nc-sa/3.0/" TargetMode="External" /><Relationship Id="rId16" Type="http://schemas.openxmlformats.org/officeDocument/2006/relationships/image" Target="../media/image6.jpeg" /><Relationship Id="rId17" Type="http://schemas.openxmlformats.org/officeDocument/2006/relationships/hyperlink" Target="http://www.muenchener-digitalisierungszentrum.de/" TargetMode="External" /><Relationship Id="rId18" Type="http://schemas.openxmlformats.org/officeDocument/2006/relationships/hyperlink" Target="http://www.muenchener-digitalisierungszentrum.de/"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impact-project.eu/" TargetMode="External" /><Relationship Id="rId3" Type="http://schemas.openxmlformats.org/officeDocument/2006/relationships/hyperlink" Target="http://www.impact-project.eu/" TargetMode="External" /><Relationship Id="rId4" Type="http://schemas.openxmlformats.org/officeDocument/2006/relationships/image" Target="../media/image2.jpeg" /><Relationship Id="rId5" Type="http://schemas.openxmlformats.org/officeDocument/2006/relationships/hyperlink" Target="http://www.impact-project.eu/" TargetMode="External" /><Relationship Id="rId6" Type="http://schemas.openxmlformats.org/officeDocument/2006/relationships/hyperlink" Target="http://www.impact-project.eu/" TargetMode="External" /><Relationship Id="rId7" Type="http://schemas.openxmlformats.org/officeDocument/2006/relationships/image" Target="../media/image3.jpeg" /><Relationship Id="rId8" Type="http://schemas.openxmlformats.org/officeDocument/2006/relationships/image" Target="../media/image7.jpeg" /><Relationship Id="rId9" Type="http://schemas.openxmlformats.org/officeDocument/2006/relationships/hyperlink" Target="http://www.muenchener-digitalisierungszentrum.de/" TargetMode="External" /><Relationship Id="rId10" Type="http://schemas.openxmlformats.org/officeDocument/2006/relationships/hyperlink" Target="http://www.muenchener-digitalisierungszentrum.de/" TargetMode="External" /><Relationship Id="rId11" Type="http://schemas.openxmlformats.org/officeDocument/2006/relationships/hyperlink" Target="http://creativecommons.org/licenses/by-nc-sa/3.0/" TargetMode="External" /><Relationship Id="rId12" Type="http://schemas.openxmlformats.org/officeDocument/2006/relationships/image" Target="../media/image5.png" /><Relationship Id="rId13" Type="http://schemas.openxmlformats.org/officeDocument/2006/relationships/hyperlink" Target="http://creativecommons.org/licenses/by-nc-sa/3.0/" TargetMode="External" /><Relationship Id="rId14" Type="http://schemas.openxmlformats.org/officeDocument/2006/relationships/hyperlink" Target="http://creativecommons.org/licenses/by-nc-sa/3.0/"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76200</xdr:rowOff>
    </xdr:from>
    <xdr:to>
      <xdr:col>5</xdr:col>
      <xdr:colOff>19050</xdr:colOff>
      <xdr:row>6</xdr:row>
      <xdr:rowOff>28575</xdr:rowOff>
    </xdr:to>
    <xdr:pic>
      <xdr:nvPicPr>
        <xdr:cNvPr id="1" name="Picture 2" descr="IMPACT-logo-grey.gif">
          <a:hlinkClick r:id="rId3"/>
        </xdr:cNvPr>
        <xdr:cNvPicPr preferRelativeResize="1">
          <a:picLocks noChangeAspect="1"/>
        </xdr:cNvPicPr>
      </xdr:nvPicPr>
      <xdr:blipFill>
        <a:blip r:embed="rId1"/>
        <a:stretch>
          <a:fillRect/>
        </a:stretch>
      </xdr:blipFill>
      <xdr:spPr>
        <a:xfrm>
          <a:off x="628650" y="238125"/>
          <a:ext cx="2438400" cy="762000"/>
        </a:xfrm>
        <a:prstGeom prst="rect">
          <a:avLst/>
        </a:prstGeom>
        <a:noFill/>
        <a:ln w="9525" cmpd="sng">
          <a:noFill/>
        </a:ln>
      </xdr:spPr>
    </xdr:pic>
    <xdr:clientData/>
  </xdr:twoCellAnchor>
  <xdr:twoCellAnchor editAs="oneCell">
    <xdr:from>
      <xdr:col>1</xdr:col>
      <xdr:colOff>0</xdr:colOff>
      <xdr:row>34</xdr:row>
      <xdr:rowOff>161925</xdr:rowOff>
    </xdr:from>
    <xdr:to>
      <xdr:col>2</xdr:col>
      <xdr:colOff>409575</xdr:colOff>
      <xdr:row>37</xdr:row>
      <xdr:rowOff>9525</xdr:rowOff>
    </xdr:to>
    <xdr:pic>
      <xdr:nvPicPr>
        <xdr:cNvPr id="2" name="Picture 4" descr="eu-KB logo.jpg">
          <a:hlinkClick r:id="rId6"/>
        </xdr:cNvPr>
        <xdr:cNvPicPr preferRelativeResize="1">
          <a:picLocks noChangeAspect="1"/>
        </xdr:cNvPicPr>
      </xdr:nvPicPr>
      <xdr:blipFill>
        <a:blip r:embed="rId4"/>
        <a:stretch>
          <a:fillRect/>
        </a:stretch>
      </xdr:blipFill>
      <xdr:spPr>
        <a:xfrm>
          <a:off x="609600" y="6515100"/>
          <a:ext cx="1019175" cy="333375"/>
        </a:xfrm>
        <a:prstGeom prst="rect">
          <a:avLst/>
        </a:prstGeom>
        <a:noFill/>
        <a:ln w="9525" cmpd="sng">
          <a:noFill/>
        </a:ln>
      </xdr:spPr>
    </xdr:pic>
    <xdr:clientData/>
  </xdr:twoCellAnchor>
  <xdr:twoCellAnchor editAs="oneCell">
    <xdr:from>
      <xdr:col>6</xdr:col>
      <xdr:colOff>0</xdr:colOff>
      <xdr:row>6</xdr:row>
      <xdr:rowOff>0</xdr:rowOff>
    </xdr:from>
    <xdr:to>
      <xdr:col>16</xdr:col>
      <xdr:colOff>9525</xdr:colOff>
      <xdr:row>11</xdr:row>
      <xdr:rowOff>0</xdr:rowOff>
    </xdr:to>
    <xdr:pic>
      <xdr:nvPicPr>
        <xdr:cNvPr id="3" name="Picture 5" descr="Gothic-S_Page---small--purp.jpg"/>
        <xdr:cNvPicPr preferRelativeResize="1">
          <a:picLocks noChangeAspect="1"/>
        </xdr:cNvPicPr>
      </xdr:nvPicPr>
      <xdr:blipFill>
        <a:blip r:embed="rId7"/>
        <a:stretch>
          <a:fillRect/>
        </a:stretch>
      </xdr:blipFill>
      <xdr:spPr>
        <a:xfrm>
          <a:off x="3657600" y="971550"/>
          <a:ext cx="6105525" cy="1552575"/>
        </a:xfrm>
        <a:prstGeom prst="rect">
          <a:avLst/>
        </a:prstGeom>
        <a:noFill/>
        <a:ln w="9525" cmpd="sng">
          <a:noFill/>
        </a:ln>
      </xdr:spPr>
    </xdr:pic>
    <xdr:clientData/>
  </xdr:twoCellAnchor>
  <xdr:twoCellAnchor>
    <xdr:from>
      <xdr:col>6</xdr:col>
      <xdr:colOff>209550</xdr:colOff>
      <xdr:row>30</xdr:row>
      <xdr:rowOff>114300</xdr:rowOff>
    </xdr:from>
    <xdr:to>
      <xdr:col>15</xdr:col>
      <xdr:colOff>581025</xdr:colOff>
      <xdr:row>32</xdr:row>
      <xdr:rowOff>152400</xdr:rowOff>
    </xdr:to>
    <xdr:sp>
      <xdr:nvSpPr>
        <xdr:cNvPr id="4" name="Textfeld 9">
          <a:hlinkClick r:id="rId8"/>
        </xdr:cNvPr>
        <xdr:cNvSpPr txBox="1">
          <a:spLocks noChangeArrowheads="1"/>
        </xdr:cNvSpPr>
      </xdr:nvSpPr>
      <xdr:spPr>
        <a:xfrm>
          <a:off x="3867150" y="5819775"/>
          <a:ext cx="5857875" cy="361950"/>
        </a:xfrm>
        <a:prstGeom prst="rect">
          <a:avLst/>
        </a:prstGeom>
        <a:solidFill>
          <a:srgbClr val="FFFFFF"/>
        </a:solidFill>
        <a:ln w="0" cmpd="sng">
          <a:noFill/>
        </a:ln>
      </xdr:spPr>
      <xdr:txBody>
        <a:bodyPr vertOverflow="clip" wrap="square" anchor="b"/>
        <a:p>
          <a:pPr algn="l">
            <a:defRPr/>
          </a:pPr>
          <a:r>
            <a:rPr lang="en-US" cap="none" sz="700" b="1" i="0" u="none" baseline="0">
              <a:solidFill>
                <a:srgbClr val="000000"/>
              </a:solidFill>
              <a:latin typeface="Calibri"/>
              <a:ea typeface="Calibri"/>
              <a:cs typeface="Calibri"/>
            </a:rPr>
            <a:t>Provided for the IMPACT Project by the Munich DigitiZation</a:t>
          </a:r>
          <a:r>
            <a:rPr lang="en-US" cap="none" sz="700" b="1" i="0" u="none" baseline="0">
              <a:solidFill>
                <a:srgbClr val="000000"/>
              </a:solidFill>
              <a:latin typeface="Calibri"/>
              <a:ea typeface="Calibri"/>
              <a:cs typeface="Calibri"/>
            </a:rPr>
            <a:t> </a:t>
          </a:r>
          <a:r>
            <a:rPr lang="en-US" cap="none" sz="700" b="1" i="0" u="none" baseline="0">
              <a:solidFill>
                <a:srgbClr val="000000"/>
              </a:solidFill>
              <a:latin typeface="Calibri"/>
              <a:ea typeface="Calibri"/>
              <a:cs typeface="Calibri"/>
            </a:rPr>
            <a:t>Center  (MDZ) at the Bavarian State Library, www.muenchener-digitalisierungszentrum.de.</a:t>
          </a:r>
          <a:r>
            <a:rPr lang="en-US" cap="none" sz="700" b="0" i="0" u="none" baseline="0">
              <a:solidFill>
                <a:srgbClr val="000000"/>
              </a:solidFill>
              <a:latin typeface="Calibri"/>
              <a:ea typeface="Calibri"/>
              <a:cs typeface="Calibri"/>
            </a:rPr>
            <a:t>
</a:t>
          </a:r>
        </a:p>
      </xdr:txBody>
    </xdr:sp>
    <xdr:clientData/>
  </xdr:twoCellAnchor>
  <xdr:twoCellAnchor>
    <xdr:from>
      <xdr:col>1</xdr:col>
      <xdr:colOff>57150</xdr:colOff>
      <xdr:row>16</xdr:row>
      <xdr:rowOff>47625</xdr:rowOff>
    </xdr:from>
    <xdr:to>
      <xdr:col>5</xdr:col>
      <xdr:colOff>257175</xdr:colOff>
      <xdr:row>27</xdr:row>
      <xdr:rowOff>123825</xdr:rowOff>
    </xdr:to>
    <xdr:pic>
      <xdr:nvPicPr>
        <xdr:cNvPr id="5" name="Diagramm 7">
          <a:hlinkClick r:id="rId11"/>
        </xdr:cNvPr>
        <xdr:cNvPicPr preferRelativeResize="1">
          <a:picLocks noChangeAspect="0"/>
        </xdr:cNvPicPr>
      </xdr:nvPicPr>
      <xdr:blipFill>
        <a:blip r:embed="rId9"/>
        <a:stretch>
          <a:fillRect/>
        </a:stretch>
      </xdr:blipFill>
      <xdr:spPr>
        <a:xfrm>
          <a:off x="666750" y="3381375"/>
          <a:ext cx="2638425" cy="1962150"/>
        </a:xfrm>
        <a:prstGeom prst="rect">
          <a:avLst/>
        </a:prstGeom>
        <a:noFill/>
        <a:ln w="9525" cmpd="sng">
          <a:noFill/>
        </a:ln>
      </xdr:spPr>
    </xdr:pic>
    <xdr:clientData/>
  </xdr:twoCellAnchor>
  <xdr:twoCellAnchor>
    <xdr:from>
      <xdr:col>10</xdr:col>
      <xdr:colOff>533400</xdr:colOff>
      <xdr:row>26</xdr:row>
      <xdr:rowOff>85725</xdr:rowOff>
    </xdr:from>
    <xdr:to>
      <xdr:col>15</xdr:col>
      <xdr:colOff>514350</xdr:colOff>
      <xdr:row>30</xdr:row>
      <xdr:rowOff>66675</xdr:rowOff>
    </xdr:to>
    <xdr:sp>
      <xdr:nvSpPr>
        <xdr:cNvPr id="6" name="TextBox 8">
          <a:hlinkClick r:id="rId12"/>
        </xdr:cNvPr>
        <xdr:cNvSpPr txBox="1">
          <a:spLocks noChangeArrowheads="1"/>
        </xdr:cNvSpPr>
      </xdr:nvSpPr>
      <xdr:spPr>
        <a:xfrm>
          <a:off x="6629400" y="5143500"/>
          <a:ext cx="3028950" cy="628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800" b="1" i="0" u="none" baseline="0">
              <a:solidFill>
                <a:srgbClr val="000000"/>
              </a:solidFill>
              <a:latin typeface="Calibri"/>
              <a:ea typeface="Calibri"/>
              <a:cs typeface="Calibri"/>
            </a:rPr>
            <a:t>This tool is released under a 
</a:t>
          </a:r>
          <a:r>
            <a:rPr lang="en-US" cap="none" sz="800" b="1" i="0" u="none" baseline="0">
              <a:solidFill>
                <a:srgbClr val="000000"/>
              </a:solidFill>
              <a:latin typeface="Calibri"/>
              <a:ea typeface="Calibri"/>
              <a:cs typeface="Calibri"/>
            </a:rPr>
            <a:t>Creative Commons License:  
</a:t>
          </a:r>
          <a:r>
            <a:rPr lang="en-US" cap="none" sz="800" b="1" i="0" u="none" baseline="0">
              <a:solidFill>
                <a:srgbClr val="000000"/>
              </a:solidFill>
              <a:latin typeface="Calibri"/>
              <a:ea typeface="Calibri"/>
              <a:cs typeface="Calibri"/>
            </a:rPr>
            <a:t>Attribution-NonCommercial-
</a:t>
          </a:r>
          <a:r>
            <a:rPr lang="en-US" cap="none" sz="800" b="1" i="0" u="none" baseline="0">
              <a:solidFill>
                <a:srgbClr val="000000"/>
              </a:solidFill>
              <a:latin typeface="Calibri"/>
              <a:ea typeface="Calibri"/>
              <a:cs typeface="Calibri"/>
            </a:rPr>
            <a:t>ShareAlike 3.0 Unported
</a:t>
          </a:r>
          <a:r>
            <a:rPr lang="en-US" cap="none" sz="900" b="0" i="0" u="none" baseline="0">
              <a:solidFill>
                <a:srgbClr val="000000"/>
              </a:solidFill>
              <a:latin typeface="Calibri"/>
              <a:ea typeface="Calibri"/>
              <a:cs typeface="Calibri"/>
            </a:rPr>
            <a:t>
</a:t>
          </a:r>
        </a:p>
      </xdr:txBody>
    </xdr:sp>
    <xdr:clientData/>
  </xdr:twoCellAnchor>
  <xdr:twoCellAnchor editAs="oneCell">
    <xdr:from>
      <xdr:col>13</xdr:col>
      <xdr:colOff>228600</xdr:colOff>
      <xdr:row>26</xdr:row>
      <xdr:rowOff>152400</xdr:rowOff>
    </xdr:from>
    <xdr:to>
      <xdr:col>15</xdr:col>
      <xdr:colOff>457200</xdr:colOff>
      <xdr:row>30</xdr:row>
      <xdr:rowOff>9525</xdr:rowOff>
    </xdr:to>
    <xdr:pic>
      <xdr:nvPicPr>
        <xdr:cNvPr id="7" name="Grafik 10" descr="by-nc-sa.png">
          <a:hlinkClick r:id="rId15"/>
        </xdr:cNvPr>
        <xdr:cNvPicPr preferRelativeResize="1">
          <a:picLocks noChangeAspect="1"/>
        </xdr:cNvPicPr>
      </xdr:nvPicPr>
      <xdr:blipFill>
        <a:blip r:embed="rId13"/>
        <a:stretch>
          <a:fillRect/>
        </a:stretch>
      </xdr:blipFill>
      <xdr:spPr>
        <a:xfrm>
          <a:off x="8153400" y="5210175"/>
          <a:ext cx="1447800" cy="504825"/>
        </a:xfrm>
        <a:prstGeom prst="rect">
          <a:avLst/>
        </a:prstGeom>
        <a:noFill/>
        <a:ln w="9525" cmpd="sng">
          <a:noFill/>
        </a:ln>
      </xdr:spPr>
    </xdr:pic>
    <xdr:clientData/>
  </xdr:twoCellAnchor>
  <xdr:twoCellAnchor editAs="oneCell">
    <xdr:from>
      <xdr:col>6</xdr:col>
      <xdr:colOff>104775</xdr:colOff>
      <xdr:row>27</xdr:row>
      <xdr:rowOff>28575</xdr:rowOff>
    </xdr:from>
    <xdr:to>
      <xdr:col>10</xdr:col>
      <xdr:colOff>504825</xdr:colOff>
      <xdr:row>29</xdr:row>
      <xdr:rowOff>123825</xdr:rowOff>
    </xdr:to>
    <xdr:pic>
      <xdr:nvPicPr>
        <xdr:cNvPr id="8" name="Grafik 11" descr="mdzlogo.jpg">
          <a:hlinkClick r:id="rId18"/>
        </xdr:cNvPr>
        <xdr:cNvPicPr preferRelativeResize="1">
          <a:picLocks noChangeAspect="1"/>
        </xdr:cNvPicPr>
      </xdr:nvPicPr>
      <xdr:blipFill>
        <a:blip r:embed="rId16"/>
        <a:stretch>
          <a:fillRect/>
        </a:stretch>
      </xdr:blipFill>
      <xdr:spPr>
        <a:xfrm>
          <a:off x="3762375" y="5248275"/>
          <a:ext cx="2847975" cy="4191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0</xdr:row>
      <xdr:rowOff>133350</xdr:rowOff>
    </xdr:from>
    <xdr:to>
      <xdr:col>1</xdr:col>
      <xdr:colOff>2419350</xdr:colOff>
      <xdr:row>4</xdr:row>
      <xdr:rowOff>0</xdr:rowOff>
    </xdr:to>
    <xdr:pic>
      <xdr:nvPicPr>
        <xdr:cNvPr id="1" name="Picture 3" descr="IMPACT-logo-grey.gif">
          <a:hlinkClick r:id="rId3"/>
        </xdr:cNvPr>
        <xdr:cNvPicPr preferRelativeResize="1">
          <a:picLocks noChangeAspect="1"/>
        </xdr:cNvPicPr>
      </xdr:nvPicPr>
      <xdr:blipFill>
        <a:blip r:embed="rId1"/>
        <a:stretch>
          <a:fillRect/>
        </a:stretch>
      </xdr:blipFill>
      <xdr:spPr>
        <a:xfrm>
          <a:off x="180975" y="133350"/>
          <a:ext cx="2400300" cy="685800"/>
        </a:xfrm>
        <a:prstGeom prst="rect">
          <a:avLst/>
        </a:prstGeom>
        <a:noFill/>
        <a:ln w="9525" cmpd="sng">
          <a:noFill/>
        </a:ln>
      </xdr:spPr>
    </xdr:pic>
    <xdr:clientData/>
  </xdr:twoCellAnchor>
  <xdr:twoCellAnchor editAs="oneCell">
    <xdr:from>
      <xdr:col>1</xdr:col>
      <xdr:colOff>0</xdr:colOff>
      <xdr:row>52</xdr:row>
      <xdr:rowOff>0</xdr:rowOff>
    </xdr:from>
    <xdr:to>
      <xdr:col>1</xdr:col>
      <xdr:colOff>523875</xdr:colOff>
      <xdr:row>53</xdr:row>
      <xdr:rowOff>9525</xdr:rowOff>
    </xdr:to>
    <xdr:pic>
      <xdr:nvPicPr>
        <xdr:cNvPr id="2" name="Picture 5" descr="eu-KB logo.jpg">
          <a:hlinkClick r:id="rId6"/>
        </xdr:cNvPr>
        <xdr:cNvPicPr preferRelativeResize="1">
          <a:picLocks noChangeAspect="1"/>
        </xdr:cNvPicPr>
      </xdr:nvPicPr>
      <xdr:blipFill>
        <a:blip r:embed="rId4"/>
        <a:stretch>
          <a:fillRect/>
        </a:stretch>
      </xdr:blipFill>
      <xdr:spPr>
        <a:xfrm>
          <a:off x="161925" y="9067800"/>
          <a:ext cx="523875" cy="171450"/>
        </a:xfrm>
        <a:prstGeom prst="rect">
          <a:avLst/>
        </a:prstGeom>
        <a:noFill/>
        <a:ln w="9525" cmpd="sng">
          <a:noFill/>
        </a:ln>
      </xdr:spPr>
    </xdr:pic>
    <xdr:clientData/>
  </xdr:twoCellAnchor>
  <xdr:twoCellAnchor editAs="oneCell">
    <xdr:from>
      <xdr:col>5</xdr:col>
      <xdr:colOff>1352550</xdr:colOff>
      <xdr:row>1</xdr:row>
      <xdr:rowOff>9525</xdr:rowOff>
    </xdr:from>
    <xdr:to>
      <xdr:col>7</xdr:col>
      <xdr:colOff>2847975</xdr:colOff>
      <xdr:row>7</xdr:row>
      <xdr:rowOff>9525</xdr:rowOff>
    </xdr:to>
    <xdr:pic>
      <xdr:nvPicPr>
        <xdr:cNvPr id="3" name="Picture 7" descr="Gothic-S_Page---small--purp.jpg"/>
        <xdr:cNvPicPr preferRelativeResize="1">
          <a:picLocks noChangeAspect="1"/>
        </xdr:cNvPicPr>
      </xdr:nvPicPr>
      <xdr:blipFill>
        <a:blip r:embed="rId7"/>
        <a:stretch>
          <a:fillRect/>
        </a:stretch>
      </xdr:blipFill>
      <xdr:spPr>
        <a:xfrm>
          <a:off x="7553325" y="171450"/>
          <a:ext cx="4514850" cy="1143000"/>
        </a:xfrm>
        <a:prstGeom prst="rect">
          <a:avLst/>
        </a:prstGeom>
        <a:noFill/>
        <a:ln w="9525" cmpd="sng">
          <a:noFill/>
        </a:ln>
      </xdr:spPr>
    </xdr:pic>
    <xdr:clientData/>
  </xdr:twoCellAnchor>
  <xdr:twoCellAnchor editAs="oneCell">
    <xdr:from>
      <xdr:col>7</xdr:col>
      <xdr:colOff>66675</xdr:colOff>
      <xdr:row>42</xdr:row>
      <xdr:rowOff>95250</xdr:rowOff>
    </xdr:from>
    <xdr:to>
      <xdr:col>7</xdr:col>
      <xdr:colOff>2857500</xdr:colOff>
      <xdr:row>45</xdr:row>
      <xdr:rowOff>9525</xdr:rowOff>
    </xdr:to>
    <xdr:pic>
      <xdr:nvPicPr>
        <xdr:cNvPr id="4" name="Grafik 6" descr="MDZ-Logo_300_sRGB.jpg">
          <a:hlinkClick r:id="rId10"/>
        </xdr:cNvPr>
        <xdr:cNvPicPr preferRelativeResize="1">
          <a:picLocks noChangeAspect="1"/>
        </xdr:cNvPicPr>
      </xdr:nvPicPr>
      <xdr:blipFill>
        <a:blip r:embed="rId8"/>
        <a:stretch>
          <a:fillRect/>
        </a:stretch>
      </xdr:blipFill>
      <xdr:spPr>
        <a:xfrm>
          <a:off x="9286875" y="7448550"/>
          <a:ext cx="2790825" cy="428625"/>
        </a:xfrm>
        <a:prstGeom prst="rect">
          <a:avLst/>
        </a:prstGeom>
        <a:noFill/>
        <a:ln w="9525" cmpd="sng">
          <a:noFill/>
        </a:ln>
      </xdr:spPr>
    </xdr:pic>
    <xdr:clientData/>
  </xdr:twoCellAnchor>
  <xdr:twoCellAnchor>
    <xdr:from>
      <xdr:col>7</xdr:col>
      <xdr:colOff>57150</xdr:colOff>
      <xdr:row>45</xdr:row>
      <xdr:rowOff>57150</xdr:rowOff>
    </xdr:from>
    <xdr:to>
      <xdr:col>7</xdr:col>
      <xdr:colOff>2857500</xdr:colOff>
      <xdr:row>49</xdr:row>
      <xdr:rowOff>9525</xdr:rowOff>
    </xdr:to>
    <xdr:sp>
      <xdr:nvSpPr>
        <xdr:cNvPr id="5" name="TextBox 5">
          <a:hlinkClick r:id="rId11"/>
        </xdr:cNvPr>
        <xdr:cNvSpPr txBox="1">
          <a:spLocks noChangeArrowheads="1"/>
        </xdr:cNvSpPr>
      </xdr:nvSpPr>
      <xdr:spPr>
        <a:xfrm>
          <a:off x="9277350" y="7924800"/>
          <a:ext cx="2800350" cy="638175"/>
        </a:xfrm>
        <a:prstGeom prst="rect">
          <a:avLst/>
        </a:prstGeom>
        <a:solidFill>
          <a:srgbClr val="FFFFFF"/>
        </a:solidFill>
        <a:ln w="9525" cmpd="sng">
          <a:noFill/>
        </a:ln>
      </xdr:spPr>
      <xdr:txBody>
        <a:bodyPr vertOverflow="clip" wrap="square"/>
        <a:p>
          <a:pPr algn="l">
            <a:defRPr/>
          </a:pPr>
          <a:r>
            <a:rPr lang="en-US" cap="none" sz="800" b="1" i="0" u="none" baseline="0">
              <a:solidFill>
                <a:srgbClr val="000000"/>
              </a:solidFill>
              <a:latin typeface="Calibri"/>
              <a:ea typeface="Calibri"/>
              <a:cs typeface="Calibri"/>
            </a:rPr>
            <a:t>This tool is released under a</a:t>
          </a:r>
          <a:r>
            <a:rPr lang="en-US" cap="none" sz="800" b="1"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Creative Commons License: 
</a:t>
          </a:r>
          <a:r>
            <a:rPr lang="en-US" cap="none" sz="800" b="1" i="0" u="none" baseline="0">
              <a:solidFill>
                <a:srgbClr val="000000"/>
              </a:solidFill>
              <a:latin typeface="Calibri"/>
              <a:ea typeface="Calibri"/>
              <a:cs typeface="Calibri"/>
            </a:rPr>
            <a:t>Attribution-NonCommercial-
</a:t>
          </a:r>
          <a:r>
            <a:rPr lang="en-US" cap="none" sz="800" b="1" i="0" u="none" baseline="0">
              <a:solidFill>
                <a:srgbClr val="000000"/>
              </a:solidFill>
              <a:latin typeface="Calibri"/>
              <a:ea typeface="Calibri"/>
              <a:cs typeface="Calibri"/>
            </a:rPr>
            <a:t>ShareAlike 3.0 Unported</a:t>
          </a:r>
        </a:p>
      </xdr:txBody>
    </xdr:sp>
    <xdr:clientData/>
  </xdr:twoCellAnchor>
  <xdr:twoCellAnchor editAs="oneCell">
    <xdr:from>
      <xdr:col>7</xdr:col>
      <xdr:colOff>1419225</xdr:colOff>
      <xdr:row>45</xdr:row>
      <xdr:rowOff>133350</xdr:rowOff>
    </xdr:from>
    <xdr:to>
      <xdr:col>7</xdr:col>
      <xdr:colOff>2781300</xdr:colOff>
      <xdr:row>48</xdr:row>
      <xdr:rowOff>95250</xdr:rowOff>
    </xdr:to>
    <xdr:pic>
      <xdr:nvPicPr>
        <xdr:cNvPr id="6" name="Grafik 7" descr="by-nc-sa.png">
          <a:hlinkClick r:id="rId14"/>
        </xdr:cNvPr>
        <xdr:cNvPicPr preferRelativeResize="1">
          <a:picLocks noChangeAspect="1"/>
        </xdr:cNvPicPr>
      </xdr:nvPicPr>
      <xdr:blipFill>
        <a:blip r:embed="rId12"/>
        <a:stretch>
          <a:fillRect/>
        </a:stretch>
      </xdr:blipFill>
      <xdr:spPr>
        <a:xfrm>
          <a:off x="10639425" y="8001000"/>
          <a:ext cx="135255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mpact-project.eu/helpdesk" TargetMode="External" /><Relationship Id="rId2" Type="http://schemas.openxmlformats.org/officeDocument/2006/relationships/hyperlink" Target="mailto:impact@bsb-muenchen.de?subject=IMIPACT%20Storage%20Estimator" TargetMode="External" /><Relationship Id="rId3" Type="http://schemas.openxmlformats.org/officeDocument/2006/relationships/drawing" Target="../drawings/drawing1.xml" /><Relationship Id="rId4" Type="http://schemas.openxmlformats.org/officeDocument/2006/relationships/image" Target="../media/image8.png" /></Relationships>
</file>

<file path=xl/worksheets/_rels/sheet2.xml.rels><?xml version="1.0" encoding="utf-8" standalone="yes"?><Relationships xmlns="http://schemas.openxmlformats.org/package/2006/relationships"><Relationship Id="rId1" Type="http://schemas.openxmlformats.org/officeDocument/2006/relationships/hyperlink" Target="mailto:impact@bsb-muenchen.de?subject=IMIPACT%20Storage%20Estimator" TargetMode="External" /><Relationship Id="rId2" Type="http://schemas.openxmlformats.org/officeDocument/2006/relationships/hyperlink" Target="http://www.muenchener-digitalisierungszentrum.de/" TargetMode="External" /><Relationship Id="rId3" Type="http://schemas.openxmlformats.org/officeDocument/2006/relationships/comments" Target="../comments2.xml" /><Relationship Id="rId4" Type="http://schemas.openxmlformats.org/officeDocument/2006/relationships/vmlDrawing" Target="../drawings/vmlDrawing1.vml" /><Relationship Id="rId5" Type="http://schemas.openxmlformats.org/officeDocument/2006/relationships/drawing" Target="../drawings/drawing2.xml" /><Relationship Id="rId6" Type="http://schemas.openxmlformats.org/officeDocument/2006/relationships/image" Target="../media/image9.png" /></Relationships>
</file>

<file path=xl/worksheets/sheet1.xml><?xml version="1.0" encoding="utf-8"?>
<worksheet xmlns="http://schemas.openxmlformats.org/spreadsheetml/2006/main" xmlns:r="http://schemas.openxmlformats.org/officeDocument/2006/relationships">
  <sheetPr>
    <pageSetUpPr fitToPage="1"/>
  </sheetPr>
  <dimension ref="B4:P37"/>
  <sheetViews>
    <sheetView showGridLines="0" zoomScalePageLayoutView="0" workbookViewId="0" topLeftCell="A2">
      <selection activeCell="E8" sqref="E8"/>
    </sheetView>
  </sheetViews>
  <sheetFormatPr defaultColWidth="9.140625" defaultRowHeight="12.75"/>
  <cols>
    <col min="1" max="16384" width="9.140625" style="204" customWidth="1"/>
  </cols>
  <sheetData>
    <row r="4" ht="12.75">
      <c r="H4" s="1"/>
    </row>
    <row r="11" spans="2:5" ht="71.25" customHeight="1">
      <c r="B11" s="226" t="s">
        <v>157</v>
      </c>
      <c r="C11" s="226"/>
      <c r="D11" s="226"/>
      <c r="E11" s="226"/>
    </row>
    <row r="12" spans="2:16" ht="12.75">
      <c r="B12" s="229" t="s">
        <v>184</v>
      </c>
      <c r="C12" s="229"/>
      <c r="D12" s="229"/>
      <c r="E12" s="229"/>
      <c r="G12" s="230" t="s">
        <v>171</v>
      </c>
      <c r="H12" s="231"/>
      <c r="I12" s="231"/>
      <c r="J12" s="231"/>
      <c r="K12" s="231"/>
      <c r="L12" s="231"/>
      <c r="M12" s="231"/>
      <c r="N12" s="231"/>
      <c r="O12" s="231"/>
      <c r="P12" s="231"/>
    </row>
    <row r="13" spans="7:16" ht="12.75">
      <c r="G13" s="231"/>
      <c r="H13" s="231"/>
      <c r="I13" s="231"/>
      <c r="J13" s="231"/>
      <c r="K13" s="231"/>
      <c r="L13" s="231"/>
      <c r="M13" s="231"/>
      <c r="N13" s="231"/>
      <c r="O13" s="231"/>
      <c r="P13" s="231"/>
    </row>
    <row r="14" spans="7:16" ht="12.75">
      <c r="G14" s="232"/>
      <c r="H14" s="232"/>
      <c r="I14" s="232"/>
      <c r="J14" s="232"/>
      <c r="K14" s="232"/>
      <c r="L14" s="232"/>
      <c r="M14" s="232"/>
      <c r="N14" s="232"/>
      <c r="O14" s="232"/>
      <c r="P14" s="232"/>
    </row>
    <row r="15" spans="7:16" ht="12.75" customHeight="1">
      <c r="G15" s="224" t="s">
        <v>183</v>
      </c>
      <c r="H15" s="224"/>
      <c r="I15" s="224"/>
      <c r="J15" s="224"/>
      <c r="K15" s="224"/>
      <c r="L15" s="224"/>
      <c r="M15" s="224"/>
      <c r="N15" s="224"/>
      <c r="O15" s="224"/>
      <c r="P15" s="224"/>
    </row>
    <row r="16" spans="7:16" ht="12.75">
      <c r="G16" s="224"/>
      <c r="H16" s="224"/>
      <c r="I16" s="224"/>
      <c r="J16" s="224"/>
      <c r="K16" s="224"/>
      <c r="L16" s="224"/>
      <c r="M16" s="224"/>
      <c r="N16" s="224"/>
      <c r="O16" s="224"/>
      <c r="P16" s="224"/>
    </row>
    <row r="17" spans="7:16" ht="12.75">
      <c r="G17" s="224"/>
      <c r="H17" s="224"/>
      <c r="I17" s="224"/>
      <c r="J17" s="224"/>
      <c r="K17" s="224"/>
      <c r="L17" s="224"/>
      <c r="M17" s="224"/>
      <c r="N17" s="224"/>
      <c r="O17" s="224"/>
      <c r="P17" s="224"/>
    </row>
    <row r="18" spans="7:16" ht="12.75">
      <c r="G18" s="224"/>
      <c r="H18" s="224"/>
      <c r="I18" s="224"/>
      <c r="J18" s="224"/>
      <c r="K18" s="224"/>
      <c r="L18" s="224"/>
      <c r="M18" s="224"/>
      <c r="N18" s="224"/>
      <c r="O18" s="224"/>
      <c r="P18" s="224"/>
    </row>
    <row r="19" spans="7:16" ht="12.75">
      <c r="G19" s="225" t="s">
        <v>189</v>
      </c>
      <c r="H19" s="222"/>
      <c r="I19" s="222"/>
      <c r="J19" s="222"/>
      <c r="K19" s="222"/>
      <c r="L19" s="222"/>
      <c r="M19" s="222"/>
      <c r="N19" s="222"/>
      <c r="O19" s="222"/>
      <c r="P19" s="222"/>
    </row>
    <row r="20" spans="7:16" ht="17.25" customHeight="1">
      <c r="G20" s="222"/>
      <c r="H20" s="222"/>
      <c r="I20" s="222"/>
      <c r="J20" s="222"/>
      <c r="K20" s="222"/>
      <c r="L20" s="222"/>
      <c r="M20" s="222"/>
      <c r="N20" s="222"/>
      <c r="O20" s="222"/>
      <c r="P20" s="222"/>
    </row>
    <row r="21" spans="7:16" ht="16.5" customHeight="1">
      <c r="G21" s="222"/>
      <c r="H21" s="222"/>
      <c r="I21" s="222"/>
      <c r="J21" s="222"/>
      <c r="K21" s="222"/>
      <c r="L21" s="222"/>
      <c r="M21" s="222"/>
      <c r="N21" s="222"/>
      <c r="O21" s="222"/>
      <c r="P21" s="222"/>
    </row>
    <row r="22" spans="7:16" ht="12.75" customHeight="1">
      <c r="G22" s="222" t="s">
        <v>182</v>
      </c>
      <c r="H22" s="223"/>
      <c r="I22" s="223"/>
      <c r="J22" s="223"/>
      <c r="K22" s="223"/>
      <c r="L22" s="223"/>
      <c r="M22" s="223"/>
      <c r="N22" s="223"/>
      <c r="O22" s="223"/>
      <c r="P22" s="223"/>
    </row>
    <row r="23" spans="7:16" ht="12.75" customHeight="1">
      <c r="G23" s="223"/>
      <c r="H23" s="223"/>
      <c r="I23" s="223"/>
      <c r="J23" s="223"/>
      <c r="K23" s="223"/>
      <c r="L23" s="223"/>
      <c r="M23" s="223"/>
      <c r="N23" s="223"/>
      <c r="O23" s="223"/>
      <c r="P23" s="223"/>
    </row>
    <row r="24" spans="7:16" ht="12.75" customHeight="1">
      <c r="G24" s="223"/>
      <c r="H24" s="223"/>
      <c r="I24" s="223"/>
      <c r="J24" s="223"/>
      <c r="K24" s="223"/>
      <c r="L24" s="223"/>
      <c r="M24" s="223"/>
      <c r="N24" s="223"/>
      <c r="O24" s="223"/>
      <c r="P24" s="223"/>
    </row>
    <row r="25" spans="7:16" ht="12.75" customHeight="1">
      <c r="G25" s="223"/>
      <c r="H25" s="223"/>
      <c r="I25" s="223"/>
      <c r="J25" s="223"/>
      <c r="K25" s="223"/>
      <c r="L25" s="223"/>
      <c r="M25" s="223"/>
      <c r="N25" s="223"/>
      <c r="O25" s="223"/>
      <c r="P25" s="223"/>
    </row>
    <row r="26" spans="7:16" ht="12.75" customHeight="1">
      <c r="G26" s="223"/>
      <c r="H26" s="223"/>
      <c r="I26" s="223"/>
      <c r="J26" s="223"/>
      <c r="K26" s="223"/>
      <c r="L26" s="223"/>
      <c r="M26" s="223"/>
      <c r="N26" s="223"/>
      <c r="O26" s="223"/>
      <c r="P26" s="223"/>
    </row>
    <row r="27" spans="7:16" ht="12.75">
      <c r="G27" s="213"/>
      <c r="H27" s="213"/>
      <c r="I27" s="213"/>
      <c r="J27" s="213"/>
      <c r="K27" s="213"/>
      <c r="L27" s="213"/>
      <c r="M27" s="213"/>
      <c r="N27" s="213"/>
      <c r="O27" s="213"/>
      <c r="P27" s="213"/>
    </row>
    <row r="28" spans="2:16" ht="12.75">
      <c r="B28" s="219"/>
      <c r="C28" s="220"/>
      <c r="D28" s="220"/>
      <c r="E28" s="220"/>
      <c r="G28" s="213"/>
      <c r="H28" s="213"/>
      <c r="I28" s="213"/>
      <c r="J28" s="213"/>
      <c r="K28" s="213"/>
      <c r="L28" s="215"/>
      <c r="M28" s="213"/>
      <c r="N28" s="213"/>
      <c r="O28" s="213"/>
      <c r="P28" s="213"/>
    </row>
    <row r="29" spans="2:16" ht="12.75" customHeight="1">
      <c r="B29" s="220"/>
      <c r="C29" s="220"/>
      <c r="D29" s="220"/>
      <c r="E29" s="220"/>
      <c r="G29" s="213"/>
      <c r="H29" s="213"/>
      <c r="I29" s="213"/>
      <c r="J29" s="213"/>
      <c r="K29" s="213"/>
      <c r="L29" s="213"/>
      <c r="M29" s="213"/>
      <c r="N29" s="213"/>
      <c r="O29" s="214"/>
      <c r="P29" s="213"/>
    </row>
    <row r="30" spans="2:16" ht="12.75">
      <c r="B30" s="220"/>
      <c r="C30" s="220"/>
      <c r="D30" s="220"/>
      <c r="E30" s="220"/>
      <c r="G30" s="213"/>
      <c r="H30" s="213"/>
      <c r="I30" s="213"/>
      <c r="J30" s="213"/>
      <c r="K30" s="213"/>
      <c r="L30" s="213"/>
      <c r="M30" s="213"/>
      <c r="N30" s="213"/>
      <c r="O30" s="213"/>
      <c r="P30" s="213"/>
    </row>
    <row r="31" spans="2:16" ht="12.75">
      <c r="B31" s="221"/>
      <c r="C31" s="221"/>
      <c r="D31" s="221"/>
      <c r="E31" s="221"/>
      <c r="G31" s="213"/>
      <c r="H31" s="213"/>
      <c r="I31" s="213"/>
      <c r="J31" s="213"/>
      <c r="K31" s="213"/>
      <c r="L31" s="213"/>
      <c r="M31" s="213"/>
      <c r="N31" s="213"/>
      <c r="O31" s="213"/>
      <c r="P31" s="213"/>
    </row>
    <row r="32" spans="7:16" ht="12.75">
      <c r="G32" s="213"/>
      <c r="H32" s="213"/>
      <c r="I32" s="215"/>
      <c r="J32" s="213"/>
      <c r="K32" s="213"/>
      <c r="L32" s="213"/>
      <c r="M32" s="213"/>
      <c r="N32" s="213"/>
      <c r="O32" s="213"/>
      <c r="P32" s="213"/>
    </row>
    <row r="33" spans="7:16" ht="12.75">
      <c r="G33" s="215"/>
      <c r="H33" s="215"/>
      <c r="I33" s="215"/>
      <c r="J33" s="215"/>
      <c r="K33" s="215"/>
      <c r="L33" s="215"/>
      <c r="M33" s="215"/>
      <c r="N33" s="215"/>
      <c r="O33" s="215"/>
      <c r="P33" s="215"/>
    </row>
    <row r="34" spans="7:16" ht="12.75">
      <c r="G34" s="228"/>
      <c r="H34" s="228"/>
      <c r="I34" s="228"/>
      <c r="J34" s="228"/>
      <c r="K34" s="228"/>
      <c r="L34" s="228"/>
      <c r="M34" s="228"/>
      <c r="N34" s="228"/>
      <c r="O34" s="228"/>
      <c r="P34" s="228"/>
    </row>
    <row r="36" spans="4:16" ht="12.75">
      <c r="D36" s="227" t="s">
        <v>156</v>
      </c>
      <c r="E36" s="228"/>
      <c r="F36" s="228"/>
      <c r="G36" s="228"/>
      <c r="H36" s="228"/>
      <c r="I36" s="228"/>
      <c r="J36" s="228"/>
      <c r="K36" s="228"/>
      <c r="L36" s="228"/>
      <c r="M36" s="228"/>
      <c r="N36" s="228"/>
      <c r="O36" s="228"/>
      <c r="P36" s="228"/>
    </row>
    <row r="37" spans="4:16" ht="12.75">
      <c r="D37" s="227" t="s">
        <v>185</v>
      </c>
      <c r="E37" s="228"/>
      <c r="F37" s="228"/>
      <c r="G37" s="228"/>
      <c r="H37" s="228"/>
      <c r="I37" s="228"/>
      <c r="J37" s="228"/>
      <c r="K37" s="228"/>
      <c r="L37" s="228"/>
      <c r="M37" s="228"/>
      <c r="N37" s="228"/>
      <c r="O37" s="228"/>
      <c r="P37" s="228"/>
    </row>
  </sheetData>
  <sheetProtection sheet="1" selectLockedCells="1"/>
  <mergeCells count="9">
    <mergeCell ref="G22:P26"/>
    <mergeCell ref="G15:P18"/>
    <mergeCell ref="G19:P21"/>
    <mergeCell ref="B11:E11"/>
    <mergeCell ref="D36:P36"/>
    <mergeCell ref="D37:P37"/>
    <mergeCell ref="G34:P34"/>
    <mergeCell ref="B12:E12"/>
    <mergeCell ref="G12:P14"/>
  </mergeCells>
  <hyperlinks>
    <hyperlink ref="G19:P21" r:id="rId1" display="For support use our HelpDesk at: www.impact-project.eu/helpdesk. If required, please consult our detailed IMPACT Storage Estimator Tutorial and background notes that can be downloaded from the IMPACT website under www.impact-project.eu. "/>
    <hyperlink ref="G22:P26" r:id="rId2" display="mailto:impact@bsb-muenchen.de?subject=IMIPACT%20Storage%20Estimator"/>
  </hyperlinks>
  <printOptions horizontalCentered="1" verticalCentered="1"/>
  <pageMargins left="0" right="0" top="0" bottom="0" header="0" footer="0"/>
  <pageSetup fitToHeight="1" fitToWidth="1" horizontalDpi="600" verticalDpi="600" orientation="portrait" paperSize="9" scale="74"/>
  <drawing r:id="rId3"/>
  <picture r:id="rId4"/>
</worksheet>
</file>

<file path=xl/worksheets/sheet2.xml><?xml version="1.0" encoding="utf-8"?>
<worksheet xmlns="http://schemas.openxmlformats.org/spreadsheetml/2006/main" xmlns:r="http://schemas.openxmlformats.org/officeDocument/2006/relationships">
  <sheetPr>
    <pageSetUpPr fitToPage="1"/>
  </sheetPr>
  <dimension ref="A3:J54"/>
  <sheetViews>
    <sheetView showGridLines="0" tabSelected="1" zoomScalePageLayoutView="0" workbookViewId="0" topLeftCell="A1">
      <selection activeCell="D20" sqref="D20"/>
    </sheetView>
  </sheetViews>
  <sheetFormatPr defaultColWidth="11.57421875" defaultRowHeight="12.75"/>
  <cols>
    <col min="1" max="1" width="2.421875" style="0" customWidth="1"/>
    <col min="2" max="2" width="42.8515625" style="0" customWidth="1"/>
    <col min="3" max="3" width="2.421875" style="0" customWidth="1"/>
    <col min="4" max="4" width="42.8515625" style="0" customWidth="1"/>
    <col min="5" max="5" width="2.421875" style="0" customWidth="1"/>
    <col min="6" max="6" width="42.8515625" style="0" customWidth="1"/>
    <col min="7" max="7" width="2.421875" style="0" customWidth="1"/>
    <col min="8" max="8" width="42.8515625" style="0" customWidth="1"/>
    <col min="9" max="10" width="30.7109375" style="0" bestFit="1" customWidth="1"/>
    <col min="11" max="11" width="27.140625" style="0" bestFit="1" customWidth="1"/>
    <col min="12" max="12" width="27.00390625" style="0" bestFit="1" customWidth="1"/>
    <col min="13" max="13" width="17.00390625" style="0" bestFit="1" customWidth="1"/>
    <col min="14" max="14" width="17.7109375" style="0" bestFit="1" customWidth="1"/>
    <col min="15" max="16384" width="11.421875" style="0" customWidth="1"/>
  </cols>
  <sheetData>
    <row r="3" ht="26.25" customHeight="1">
      <c r="D3" s="195" t="s">
        <v>157</v>
      </c>
    </row>
    <row r="4" ht="12.75">
      <c r="D4" s="185" t="s">
        <v>184</v>
      </c>
    </row>
    <row r="6" spans="2:6" ht="12.75">
      <c r="B6" s="210" t="s">
        <v>172</v>
      </c>
      <c r="C6" s="186"/>
      <c r="D6" s="202" t="s">
        <v>177</v>
      </c>
      <c r="E6" s="201"/>
      <c r="F6" s="186"/>
    </row>
    <row r="7" spans="2:4" ht="12.75">
      <c r="B7" s="211" t="s">
        <v>173</v>
      </c>
      <c r="D7" s="200" t="s">
        <v>158</v>
      </c>
    </row>
    <row r="8" ht="13.5" thickBot="1"/>
    <row r="9" spans="2:8" ht="17.25" thickBot="1" thickTop="1">
      <c r="B9" s="216" t="str">
        <f>IF(B10&lt;&gt;0,"Master Files",IF(B10=0,"Please enter value below"))</f>
        <v>Master Files</v>
      </c>
      <c r="D9" s="182" t="s">
        <v>174</v>
      </c>
      <c r="F9" s="183" t="s">
        <v>175</v>
      </c>
      <c r="H9" s="184" t="s">
        <v>176</v>
      </c>
    </row>
    <row r="10" spans="1:8" ht="14.25" thickBot="1" thickTop="1">
      <c r="A10" s="1"/>
      <c r="B10" s="205">
        <v>10000</v>
      </c>
      <c r="C10" s="1"/>
      <c r="D10" s="33">
        <v>10000</v>
      </c>
      <c r="E10" s="1"/>
      <c r="F10" s="33">
        <v>10000</v>
      </c>
      <c r="G10" s="1"/>
      <c r="H10" s="33">
        <v>10000</v>
      </c>
    </row>
    <row r="11" spans="1:8" ht="13.5" thickTop="1">
      <c r="A11" s="1"/>
      <c r="B11" s="190" t="str">
        <f>IF(B12&gt;0,"File Format",IF(B12=0,"Please enter value below"))</f>
        <v>File Format</v>
      </c>
      <c r="C11" s="1"/>
      <c r="D11" s="190" t="str">
        <f>IF(D12&lt;&gt;0,"File Format",IF(D12=0,"Please enter value below"))</f>
        <v>File Format</v>
      </c>
      <c r="E11" s="1"/>
      <c r="F11" s="191" t="str">
        <f>IF(F12&lt;&gt;0,"File Format",IF(F12=0,"Please enter value below"))</f>
        <v>File Format</v>
      </c>
      <c r="G11" s="1"/>
      <c r="H11" s="190" t="str">
        <f>IF(H12&lt;&gt;0,"File Format",IF(H12=0,"Please enter value below"))</f>
        <v>File Format</v>
      </c>
    </row>
    <row r="12" spans="2:8" ht="13.5" thickBot="1">
      <c r="B12" s="206" t="s">
        <v>1</v>
      </c>
      <c r="D12" s="176" t="s">
        <v>79</v>
      </c>
      <c r="F12" s="175" t="s">
        <v>81</v>
      </c>
      <c r="H12" s="34" t="s">
        <v>22</v>
      </c>
    </row>
    <row r="13" spans="2:10" ht="13.5" thickTop="1">
      <c r="B13" s="190" t="str">
        <f>IF(AND(B14&lt;&gt;0,B12&lt;&gt;0,B12&lt;&gt;"TIFF"),"For TIFF only. Leave cell below empty","TIFF Compression Method")</f>
        <v>TIFF Compression Method</v>
      </c>
      <c r="D13" s="190" t="str">
        <f>IF(AND(D14&lt;&gt;0,D12&lt;&gt;0,D12&lt;&gt;"TIFF"),"For TIFF only. Leave cell below empty","TIFF Compression Method")</f>
        <v>TIFF Compression Method</v>
      </c>
      <c r="F13" s="190" t="str">
        <f>IF(AND(F14&lt;&gt;0,F12&lt;&gt;0,F12&lt;&gt;"TIFF"),"For TIFF only. Leave cell below empty","TIFF Compression Method")</f>
        <v>TIFF Compression Method</v>
      </c>
      <c r="H13" s="191" t="s">
        <v>11</v>
      </c>
      <c r="I13" s="1"/>
      <c r="J13" s="1"/>
    </row>
    <row r="14" spans="2:10" ht="13.5" thickBot="1">
      <c r="B14" s="176"/>
      <c r="D14" s="34"/>
      <c r="F14" s="34"/>
      <c r="H14" s="192">
        <f>IF(H12="Not-formatted Text (*.txt)",1,IF(H12="Word Level Information (*.xml)",4.23,IF(H12="Character Level Information (*.xml)",198.47,1)))</f>
        <v>198.47</v>
      </c>
      <c r="I14" s="1"/>
      <c r="J14" s="1"/>
    </row>
    <row r="15" spans="2:8" s="1" customFormat="1" ht="13.5" thickTop="1">
      <c r="B15" s="191" t="s">
        <v>0</v>
      </c>
      <c r="D15" s="191" t="s">
        <v>0</v>
      </c>
      <c r="F15" s="190" t="s">
        <v>0</v>
      </c>
      <c r="H15" s="190" t="str">
        <f>IF(AND(H16&lt;&gt;0,H20&lt;&gt;0),"Leave Publication Size or Characters/Image empty","Publication Size (Characters per Image / Page)")</f>
        <v>Publication Size (Characters per Image / Page)</v>
      </c>
    </row>
    <row r="16" spans="2:10" s="1" customFormat="1" ht="13.5" thickBot="1">
      <c r="B16" s="192">
        <f>IF(B12="JPEG (100%, colour)",0.24,1)*IF(B12="JPEG (100%, greyscale)",0.52,1)*IF(B12="JPEG (50%, colour)",0.03,1)*IF(B12="JPEG (50%, greyscale)",0.09,1)*IF(B12="JPEG2000 (lossless, colour and greyscale)",0.51,1)*IF(B12="GIF (colour; lossless up to 256 colours)",0.19,1)*IF(B12="GIF (greyscale)",0.79,1)*IF(B12="GIF (black-and-white)",0.29,1)*IF(B12="PNG (colour, best compression)",0.49,1)*IF(B12="PNG (greyscale, best compression)",0.61,1)*IF(B12="PNG (black-and-white, best compression)",0.23,1)</f>
        <v>1</v>
      </c>
      <c r="D16" s="192">
        <f>IF(D12="JPEG (100%, colour)",0.24,1)*IF(D12="JPEG (100%, greyscale)",0.52,1)*IF(D12="JPEG (50%, colour)",0.03,1)*IF(D12="JPEG (50%, greyscale)",0.09,1)*IF(D12="JPEG2000 (lossless, colour and greyscale)",0.51,1)*IF(D12="GIF (colour; lossless up to 256 colours)",0.19,1)*IF(D12="GIF (greyscale)",0.79,1)*IF(D12="GIF (black-and-white)",0.29,1)*IF(D12="PNG (colour, best compression)",0.49,1)*IF(D12="PNG (greyscale, best compression)",0.61,1)*IF(D12="PNG (black-and-white, best compression)",0.23,1)</f>
        <v>0.24</v>
      </c>
      <c r="F16" s="192">
        <f>IF(F12="JPEG (100%, colour)",0.24,1)*IF(F12="JPEG (100%, greyscale)",0.52,1)*IF(F12="JPEG (50%, colour)",0.03,1)*IF(F12="JPEG (50%, greyscale)",0.09,1)*IF(F12="JPEG2000 (lossless, colour and greyscale)",0.51,1)*IF(F12="GIF (colour; lossless up to 256 colours)",0.19,1)*IF(F12="GIF (greyscale)",0.79,1)*IF(F12="GIF (black-and-white)",0.29,1)*IF(F12="PNG (colour, best compression)",0.49,1)*IF(F12="PNG (greyscale, best compression)",0.61,1)*IF(F12="PNG (black-and-white, best compression)",0.23,1)</f>
        <v>0.03</v>
      </c>
      <c r="H16" s="176" t="s">
        <v>135</v>
      </c>
      <c r="I16" s="198"/>
      <c r="J16" s="199"/>
    </row>
    <row r="17" spans="2:8" s="1" customFormat="1" ht="13.5" thickTop="1">
      <c r="B17" s="190" t="s">
        <v>12</v>
      </c>
      <c r="D17" s="190" t="s">
        <v>12</v>
      </c>
      <c r="F17" s="190" t="s">
        <v>12</v>
      </c>
      <c r="H17" s="190" t="s">
        <v>132</v>
      </c>
    </row>
    <row r="18" spans="2:8" s="1" customFormat="1" ht="13.5" thickBot="1">
      <c r="B18" s="193">
        <f>IF(AND(B12="TIFF",B14="TIFF LZW (colour and greyscale)"),0.8,1)*IF(AND(B12="TIFF",B14="TIFF LZW (black-and-white)"),0.28,1)*IF(AND(B12="TIFF",B14="TIFF Group4 (black-and-white)"),0.13,1)*IF(AND(B12="TIFF",B14="TIFF ZIP (colour)"),0.76,1)*IF(AND(B12="TIFF",B14="TIFF ZIP (greyscale)"),0.68,1)*IF(AND(B12="TIFF",B14="TIFF ZIP (black-and-white)"),0.25,1)*IF(AND(B12="TIFF",B14="TIFF JPEG (colour)"),0.31,1)*IF(AND(B12="TIFF",B14="TIFF JPEG (greyscale)"),0.51,1)</f>
        <v>1</v>
      </c>
      <c r="D18" s="193">
        <f>IF(AND(D12="TIFF",D14="TIFF LZW (colour and greyscale)"),0.8,1)*IF(AND(D12="TIFF",D14="TIFF LZW (black-and-white)"),0.28,1)*IF(AND(D12="TIFF",D14="TIFF Group4 (black-and-white)"),0.13,1)*IF(AND(D12="TIFF",D14="TIFF ZIP (colour)"),0.76,1)*IF(AND(D12="TIFF",D14="TIFF ZIP (greyscale)"),0.68,1)*IF(AND(D12="TIFF",D14="TIFF ZIP (black-and-white)"),0.25,1)</f>
        <v>1</v>
      </c>
      <c r="F18" s="193">
        <f>IF(AND(F12="TIFF",F14="TIFF LZW (colour and greyscale)"),0.8,1)*IF(AND(F12="TIFF",F14="TIFF LZW (black-and-white)"),0.28,1)*IF(AND(F12="TIFF",F14="TIFF Group4 (black-and-white)"),0.13,1)*IF(AND(F12="TIFF",F14="TIFF ZIP (colour)"),0.76,1)*IF(AND(F12="TIFF",F14="TIFF ZIP (greyscale)"),0.68,1)*IF(AND(F12="TIFF",F14="TIFF ZIP (black-and-white)"),0.25,1)</f>
        <v>1</v>
      </c>
      <c r="H18" s="193">
        <f>IF(H16="Small book (2000 Characters)",2000,IF(H16="Average book (3000 Characters)",3000,IF(H16="Large book (4000 Characters)",4000,IF(H16="Small newspaper (8000 Characters)",8000,IF(H16="Average newspaper (10000 Characters)",10000,IF(H16="Large newspaper (12000 Characters)",12000,0))))))</f>
        <v>4000</v>
      </c>
    </row>
    <row r="19" spans="2:10" ht="13.5" thickTop="1">
      <c r="B19" s="190" t="str">
        <f>IF(B20&lt;&gt;0,"Resolution (ppi)",IF(B20=0,"Please enter value below"))</f>
        <v>Resolution (ppi)</v>
      </c>
      <c r="D19" s="190" t="str">
        <f>IF(D20&lt;&gt;0,"Resolution (ppi)",IF(D20=0,"Please enter value below"))</f>
        <v>Resolution (ppi)</v>
      </c>
      <c r="F19" s="190" t="str">
        <f>IF(F20&lt;&gt;0,"Resolution (ppi)",IF(F20=0,"Please enter value below"))</f>
        <v>Resolution (ppi)</v>
      </c>
      <c r="H19" s="190" t="str">
        <f>IF(AND(H16&lt;&gt;0,H20&lt;&gt;0),"Leave Publication Size or Characters/Image empty","Characters per Image / Page (Manual Input)")</f>
        <v>Characters per Image / Page (Manual Input)</v>
      </c>
      <c r="I19" s="1"/>
      <c r="J19" s="1"/>
    </row>
    <row r="20" spans="2:10" ht="13.5" thickBot="1">
      <c r="B20" s="207">
        <v>400</v>
      </c>
      <c r="D20" s="35">
        <v>300</v>
      </c>
      <c r="F20" s="35">
        <v>150</v>
      </c>
      <c r="H20" s="197"/>
      <c r="I20" s="198"/>
      <c r="J20" s="199"/>
    </row>
    <row r="21" spans="2:8" s="1" customFormat="1" ht="13.5" thickTop="1">
      <c r="B21" s="190" t="str">
        <f>IF(B22&lt;&gt;0,"Bit Depth / Colour Depth",IF(B22=0,"Please enter value below"))</f>
        <v>Bit Depth / Colour Depth</v>
      </c>
      <c r="D21" s="190" t="str">
        <f>IF(D22&lt;&gt;0,"Bit Depth / Colour Depth",IF(D22=0,"Please enter value below"))</f>
        <v>Bit Depth / Colour Depth</v>
      </c>
      <c r="F21" s="190" t="str">
        <f>IF(F22&lt;&gt;0,"Bit Depth / Colour Depth",IF(F22=0,"Please enter value below"))</f>
        <v>Bit Depth / Colour Depth</v>
      </c>
      <c r="H21" s="190" t="s">
        <v>9</v>
      </c>
    </row>
    <row r="22" spans="2:8" ht="13.5" thickBot="1">
      <c r="B22" s="207">
        <v>24</v>
      </c>
      <c r="D22" s="35">
        <v>24</v>
      </c>
      <c r="F22" s="35">
        <v>24</v>
      </c>
      <c r="H22" s="193">
        <f>IF(AND(H18&gt;0,H20&gt;0),"Both publication size and character number are filled in!",IF(H18&gt;0,H18,H20))</f>
        <v>4000</v>
      </c>
    </row>
    <row r="23" spans="2:8" ht="13.5" thickTop="1">
      <c r="B23" s="190" t="str">
        <f>IF(B24&lt;&gt;0,"Image Height",IF(B24=0,"Please enter value below"))</f>
        <v>Image Height</v>
      </c>
      <c r="D23" s="190" t="str">
        <f>IF(D24&lt;&gt;0,"Image Height",IF(D24=0,"Please enter value below"))</f>
        <v>Image Height</v>
      </c>
      <c r="F23" s="190" t="str">
        <f>IF(F24&lt;&gt;0,"Image Height",IF(F24=0,"Please enter value below"))</f>
        <v>Image Height</v>
      </c>
      <c r="H23" s="20"/>
    </row>
    <row r="24" spans="2:8" ht="12.75">
      <c r="B24" s="208">
        <v>10000</v>
      </c>
      <c r="D24" s="36">
        <v>10000</v>
      </c>
      <c r="F24" s="36">
        <v>10000</v>
      </c>
      <c r="H24" s="18"/>
    </row>
    <row r="25" spans="2:8" ht="12.75">
      <c r="B25" s="194" t="str">
        <f>IF(B26&lt;&gt;0,"Image Width",IF(B26=0,"Please enter value below"))</f>
        <v>Image Width</v>
      </c>
      <c r="D25" s="194" t="str">
        <f>IF(D26&lt;&gt;0,"Image Width",IF(D26=0,"Please enter value below"))</f>
        <v>Image Width</v>
      </c>
      <c r="F25" s="194" t="str">
        <f>IF(F26&lt;&gt;0,"Image Width",IF(F26=0,"Please enter value below"))</f>
        <v>Image Width</v>
      </c>
      <c r="H25" s="18"/>
    </row>
    <row r="26" spans="2:8" ht="12.75">
      <c r="B26" s="208">
        <v>1000</v>
      </c>
      <c r="D26" s="36">
        <v>1000</v>
      </c>
      <c r="F26" s="36">
        <v>1000</v>
      </c>
      <c r="H26" s="18"/>
    </row>
    <row r="27" spans="2:8" ht="12.75">
      <c r="B27" s="194" t="str">
        <f>IF(B28&lt;&gt;0,"Unit Image Size",IF(B28=0,"Please enter value below"))</f>
        <v>Unit Image Size</v>
      </c>
      <c r="D27" s="194" t="str">
        <f>IF(D28&lt;&gt;0,"Unit Image Size",IF(D28=0,"Please enter value below"))</f>
        <v>Unit Image Size</v>
      </c>
      <c r="F27" s="194" t="str">
        <f>IF(F28&lt;&gt;0,"Unit Image Size",IF(F28=0,"Please enter value below"))</f>
        <v>Unit Image Size</v>
      </c>
      <c r="H27" s="18"/>
    </row>
    <row r="28" spans="2:8" ht="13.5" thickBot="1">
      <c r="B28" s="209" t="s">
        <v>4</v>
      </c>
      <c r="D28" s="37" t="s">
        <v>4</v>
      </c>
      <c r="F28" s="37" t="s">
        <v>4</v>
      </c>
      <c r="H28" s="19"/>
    </row>
    <row r="29" spans="2:8" ht="13.5" thickTop="1">
      <c r="B29" s="190" t="s">
        <v>151</v>
      </c>
      <c r="D29" s="190" t="s">
        <v>151</v>
      </c>
      <c r="F29" s="191" t="s">
        <v>151</v>
      </c>
      <c r="H29" s="190" t="s">
        <v>151</v>
      </c>
    </row>
    <row r="30" spans="2:8" ht="12.75">
      <c r="B30" s="187">
        <f>B10*B16*B18*B20*B20*B22*'Background Lists &amp; Tables'!L5*'Background Lists &amp; Tables'!M5/1024/8</f>
        <v>292968750</v>
      </c>
      <c r="D30" s="187">
        <f>D10*D16*D18*D20*D20*D22*'Background Lists &amp; Tables'!L17*'Background Lists &amp; Tables'!M17/1024/8</f>
        <v>39550781.25</v>
      </c>
      <c r="F30" s="187">
        <f>F10*F16*F18*F20*F20*F22*'Background Lists &amp; Tables'!L29*'Background Lists &amp; Tables'!M29/1024/8</f>
        <v>1235961.9140625</v>
      </c>
      <c r="H30" s="187">
        <f>H22/797*H10*H14</f>
        <v>9960853.199498119</v>
      </c>
    </row>
    <row r="31" spans="2:8" ht="12.75">
      <c r="B31" s="194" t="s">
        <v>152</v>
      </c>
      <c r="D31" s="194" t="s">
        <v>152</v>
      </c>
      <c r="F31" s="194" t="s">
        <v>152</v>
      </c>
      <c r="H31" s="194" t="s">
        <v>152</v>
      </c>
    </row>
    <row r="32" spans="2:8" ht="12.75">
      <c r="B32" s="187">
        <f>B10*B16*B18*B20*B20*B22*'Background Lists &amp; Tables'!L5*'Background Lists &amp; Tables'!M5/1048576/8</f>
        <v>286102.294921875</v>
      </c>
      <c r="D32" s="187">
        <f>D10*D16*D18*D20*D20*D22*'Background Lists &amp; Tables'!L17*'Background Lists &amp; Tables'!M17/1048576/8</f>
        <v>38623.809814453125</v>
      </c>
      <c r="F32" s="187">
        <f>F10*F16*F18*F20*F20*F22*'Background Lists &amp; Tables'!L29*'Background Lists &amp; Tables'!M29/1048576/8</f>
        <v>1206.9940567016602</v>
      </c>
      <c r="H32" s="187">
        <f>H30/1024</f>
        <v>9727.395702634882</v>
      </c>
    </row>
    <row r="33" spans="2:8" ht="12.75">
      <c r="B33" s="194" t="s">
        <v>153</v>
      </c>
      <c r="D33" s="194" t="s">
        <v>153</v>
      </c>
      <c r="F33" s="194" t="s">
        <v>153</v>
      </c>
      <c r="H33" s="194" t="s">
        <v>153</v>
      </c>
    </row>
    <row r="34" spans="2:8" ht="12.75">
      <c r="B34" s="188">
        <f>B10*B16*B18*B20*B20*B22*'Background Lists &amp; Tables'!L5*'Background Lists &amp; Tables'!M5/1073741824/8</f>
        <v>279.39677238464355</v>
      </c>
      <c r="D34" s="188">
        <f>D10*D16*D18*D20*D20*D22*'Background Lists &amp; Tables'!L17*'Background Lists &amp; Tables'!M17/1073741824/8</f>
        <v>37.71856427192688</v>
      </c>
      <c r="F34" s="188">
        <f>F10*F16*F18*F20*F20*F22*'Background Lists &amp; Tables'!L29*'Background Lists &amp; Tables'!M29/1073741824/8</f>
        <v>1.178705133497715</v>
      </c>
      <c r="H34" s="188">
        <f>H30/1024/1024</f>
        <v>9.499409865854377</v>
      </c>
    </row>
    <row r="35" spans="2:8" ht="12.75">
      <c r="B35" s="194" t="s">
        <v>154</v>
      </c>
      <c r="D35" s="194" t="s">
        <v>154</v>
      </c>
      <c r="F35" s="194" t="s">
        <v>154</v>
      </c>
      <c r="H35" s="194" t="s">
        <v>154</v>
      </c>
    </row>
    <row r="36" spans="2:8" ht="13.5" thickBot="1">
      <c r="B36" s="189">
        <f>B10*B16*B18*B20*B20*B22*'Background Lists &amp; Tables'!L5*'Background Lists &amp; Tables'!M5/1099511627776/8</f>
        <v>0.27284841053187847</v>
      </c>
      <c r="D36" s="189">
        <f>D10*D16*D18*D20*D20*D22*'Background Lists &amp; Tables'!L17*'Background Lists &amp; Tables'!M17/1099511627776/8</f>
        <v>0.036834535421803594</v>
      </c>
      <c r="F36" s="189">
        <f>F10*F16*F18*F20*F20*F22*'Background Lists &amp; Tables'!L29*'Background Lists &amp; Tables'!M29/1099511627776/8</f>
        <v>0.0011510792319313623</v>
      </c>
      <c r="H36" s="189">
        <f>H30/1024/1024/1024</f>
        <v>0.009276767447123415</v>
      </c>
    </row>
    <row r="37" spans="2:8" ht="13.5" thickTop="1">
      <c r="B37" s="179"/>
      <c r="D37" s="179"/>
      <c r="F37" s="179"/>
      <c r="H37" s="179"/>
    </row>
    <row r="38" spans="2:8" ht="13.5" thickBot="1">
      <c r="B38" s="177"/>
      <c r="D38" s="177"/>
      <c r="F38" s="177"/>
      <c r="H38" s="177"/>
    </row>
    <row r="39" spans="2:8" ht="20.25" customHeight="1" thickBot="1" thickTop="1">
      <c r="B39" s="178" t="s">
        <v>141</v>
      </c>
      <c r="D39" s="178" t="s">
        <v>142</v>
      </c>
      <c r="F39" s="217" t="s">
        <v>161</v>
      </c>
      <c r="H39" s="233" t="s">
        <v>187</v>
      </c>
    </row>
    <row r="40" spans="2:8" ht="13.5" customHeight="1" thickTop="1">
      <c r="B40" s="190" t="s">
        <v>7</v>
      </c>
      <c r="D40" s="190" t="s">
        <v>143</v>
      </c>
      <c r="F40" s="190" t="s">
        <v>164</v>
      </c>
      <c r="H40" s="233"/>
    </row>
    <row r="41" spans="2:8" ht="13.5" customHeight="1" thickBot="1">
      <c r="B41" s="180">
        <f>ROUNDUP(D43/700,0)</f>
        <v>480</v>
      </c>
      <c r="D41" s="180">
        <f>B30+D30+F30+H30</f>
        <v>343716346.3635606</v>
      </c>
      <c r="F41" s="176" t="s">
        <v>167</v>
      </c>
      <c r="H41" s="233"/>
    </row>
    <row r="42" spans="2:8" ht="13.5" thickTop="1">
      <c r="B42" s="190" t="s">
        <v>8</v>
      </c>
      <c r="D42" s="190" t="s">
        <v>144</v>
      </c>
      <c r="F42" s="190" t="s">
        <v>162</v>
      </c>
      <c r="H42" s="233"/>
    </row>
    <row r="43" spans="2:8" ht="13.5" thickBot="1">
      <c r="B43" s="180">
        <f>ROUNDUP(D45/4.7,0)</f>
        <v>70</v>
      </c>
      <c r="D43" s="180">
        <f>B32+D32+F32+H32</f>
        <v>335660.49449566467</v>
      </c>
      <c r="F43" s="176" t="s">
        <v>168</v>
      </c>
      <c r="H43" s="233"/>
    </row>
    <row r="44" spans="2:10" ht="13.5" thickTop="1">
      <c r="B44" s="190" t="s">
        <v>147</v>
      </c>
      <c r="D44" s="190" t="s">
        <v>145</v>
      </c>
      <c r="F44" s="190" t="s">
        <v>165</v>
      </c>
      <c r="G44" s="186"/>
      <c r="H44" s="186"/>
      <c r="I44" s="186"/>
      <c r="J44" s="186"/>
    </row>
    <row r="45" spans="2:6" ht="13.5" thickBot="1">
      <c r="B45" s="180">
        <f>ROUNDUP(D45/100,0)</f>
        <v>4</v>
      </c>
      <c r="D45" s="180">
        <f>B34+D34+F34+H34</f>
        <v>327.7934516559225</v>
      </c>
      <c r="F45" s="176" t="s">
        <v>169</v>
      </c>
    </row>
    <row r="46" spans="2:8" ht="13.5" thickTop="1">
      <c r="B46" s="190" t="s">
        <v>148</v>
      </c>
      <c r="D46" s="190" t="s">
        <v>146</v>
      </c>
      <c r="F46" s="190" t="s">
        <v>163</v>
      </c>
      <c r="H46" s="1"/>
    </row>
    <row r="47" spans="2:8" ht="13.5" thickBot="1">
      <c r="B47" s="180">
        <f>ROUNDUP(D45/200,0)</f>
        <v>2</v>
      </c>
      <c r="D47" s="181">
        <f>B36+D36+F36+H36</f>
        <v>0.32011079263273684</v>
      </c>
      <c r="F47" s="176" t="s">
        <v>170</v>
      </c>
      <c r="G47" s="196"/>
      <c r="H47" s="196"/>
    </row>
    <row r="48" spans="2:8" ht="13.5" thickTop="1">
      <c r="B48" s="190" t="s">
        <v>149</v>
      </c>
      <c r="F48" s="190" t="s">
        <v>166</v>
      </c>
      <c r="G48" s="196"/>
      <c r="H48" s="196"/>
    </row>
    <row r="49" spans="2:6" ht="13.5" thickBot="1">
      <c r="B49" s="180">
        <f>ROUNDUP(D45/400,0)</f>
        <v>1</v>
      </c>
      <c r="D49" s="218" t="s">
        <v>155</v>
      </c>
      <c r="F49" s="212">
        <f ca="1">TODAY()</f>
        <v>43736</v>
      </c>
    </row>
    <row r="50" s="1" customFormat="1" ht="13.5" thickTop="1">
      <c r="B50" s="190" t="s">
        <v>150</v>
      </c>
    </row>
    <row r="51" spans="2:8" s="1" customFormat="1" ht="13.5" thickBot="1">
      <c r="B51" s="180">
        <f>ROUNDUP(D45/800,0)</f>
        <v>1</v>
      </c>
      <c r="D51" s="234" t="s">
        <v>188</v>
      </c>
      <c r="E51" s="234"/>
      <c r="F51" s="234"/>
      <c r="G51" s="234"/>
      <c r="H51" s="234"/>
    </row>
    <row r="52" spans="9:10" ht="13.5" thickTop="1">
      <c r="I52" s="1"/>
      <c r="J52" s="1"/>
    </row>
    <row r="53" spans="2:10" ht="12.75">
      <c r="B53" s="235" t="s">
        <v>186</v>
      </c>
      <c r="C53" s="236"/>
      <c r="D53" s="236"/>
      <c r="E53" s="236"/>
      <c r="F53" s="236"/>
      <c r="G53" s="236"/>
      <c r="H53" s="236"/>
      <c r="I53" s="1"/>
      <c r="J53" s="1"/>
    </row>
    <row r="54" spans="9:10" ht="12.75">
      <c r="I54" s="1"/>
      <c r="J54" s="1"/>
    </row>
  </sheetData>
  <sheetProtection sheet="1" selectLockedCells="1"/>
  <mergeCells count="3">
    <mergeCell ref="H39:H43"/>
    <mergeCell ref="D51:H51"/>
    <mergeCell ref="B53:H53"/>
  </mergeCells>
  <conditionalFormatting sqref="B11 D11 F11 H11 F13 D13 B14 B14 B13 B19 D19 F19 F21 D21 B21 B23 D23 F23 B25 D25 F25 B27 D27 F27 B9 B13 D13 F13">
    <cfRule type="expression" priority="9" dxfId="0" stopIfTrue="1">
      <formula>LEFT(B9,24)="Please enter value below"</formula>
    </cfRule>
  </conditionalFormatting>
  <conditionalFormatting sqref="I16 I20 H22">
    <cfRule type="expression" priority="11" dxfId="0" stopIfTrue="1">
      <formula>LEFT(H16,21)="Both publication size"</formula>
    </cfRule>
  </conditionalFormatting>
  <conditionalFormatting sqref="B13 D13 F13">
    <cfRule type="expression" priority="12" dxfId="0" stopIfTrue="1">
      <formula>LEFT(B13,13)="For TIFF only"</formula>
    </cfRule>
  </conditionalFormatting>
  <conditionalFormatting sqref="H15 H19">
    <cfRule type="expression" priority="13" dxfId="0" stopIfTrue="1">
      <formula>LEFT(H15,22)="Leave Publication Size"</formula>
    </cfRule>
  </conditionalFormatting>
  <dataValidations count="27">
    <dataValidation type="list" showErrorMessage="1" promptTitle="TIFF Compression Method" prompt="Please choose the according TIFF compression method. Leave blank in case you don't want to use compression. Please note: You have to select TIFF as file format. Otherwise the compression method has no influence on the result." errorTitle="TIFF Compression Method" error="Only the listed compression methods are valid. Please choose a compression method from the list." sqref="F14">
      <formula1>Compression_Methods</formula1>
    </dataValidation>
    <dataValidation type="list" allowBlank="1" showErrorMessage="1" promptTitle="File Format" prompt="Please choose the (compressed) master file format you plan to use for your digitisation project." errorTitle="File Format" error="Only the listed file formats are valid. Please choose a file format from the list." sqref="B12">
      <formula1>FileFormat_Images</formula1>
    </dataValidation>
    <dataValidation type="whole" operator="greaterThan" allowBlank="1" showErrorMessage="1" promptTitle="Resolution (dpi)" prompt="Please enter the image resolution you want to use for your image files." errorTitle="Resolution (dpi)" error="Please enter a whole number greater than 0." sqref="B20">
      <formula1>0</formula1>
    </dataValidation>
    <dataValidation type="whole" operator="greaterThan" allowBlank="1" showErrorMessage="1" promptTitle="Bit Depth / Colour Depth" prompt="Please enter the bit depth (= colour depth) you want to use for your image files." errorTitle="Bit Depth / Colour Depth" error="Please enter a whole number greater than 0." sqref="F22">
      <formula1>0</formula1>
    </dataValidation>
    <dataValidation type="decimal" operator="greaterThan" allowBlank="1" showErrorMessage="1" promptTitle="Image Width" prompt="Please enter the width of the image files and the according measure unit (same unit as for height). " errorTitle="Image Height" error="Please enter a decimal number greater than 0." sqref="F24">
      <formula1>0</formula1>
    </dataValidation>
    <dataValidation type="decimal" operator="greaterThan" allowBlank="1" showErrorMessage="1" promptTitle="Image Height" prompt="Please enter the height of the image files and the according measure unit (same unit as for width). " errorTitle="Image Width" error="Please enter a decimal number greater than 0." sqref="F26">
      <formula1>0</formula1>
    </dataValidation>
    <dataValidation errorStyle="information" allowBlank="1" prompt="Please choose the linear measure." errorTitle="Unit" error="Only the listed linear measures are valid. Please choose a linear measure from the list." sqref="H30 F30 D30 B30"/>
    <dataValidation type="whole" operator="greaterThanOrEqual" allowBlank="1" showErrorMessage="1" promptTitle="Number of OCR Result Files" prompt="Please enter the estimated number of OCR result files for your digitisation project. It has to be identical to the number of OCRed files. Enter zero and ignore the following fields in case you don't store OCR result files." errorTitle="Number of Master Files" error="Please enter a whole number greater than or equal to 0." sqref="H10">
      <formula1>0</formula1>
    </dataValidation>
    <dataValidation type="list" showErrorMessage="1" promptTitle="Unit Image Size" prompt="Please choose the linear measure." errorTitle="Unit Image Size" error="Only the listed linear measures are valid. Please choose a linear measure from the list." sqref="B28 D28">
      <formula1>Units1</formula1>
    </dataValidation>
    <dataValidation type="list" allowBlank="1" showErrorMessage="1" promptTitle="File Format" prompt="Please choose the (compressed) file format you plan to use for the derivative files of your digitisation project." errorTitle="File Format" error="Only the listed file formats are valid. Please choose a file format from the list." sqref="F12">
      <formula1>FileFormat_Images</formula1>
    </dataValidation>
    <dataValidation type="whole" operator="greaterThan" allowBlank="1" showErrorMessage="1" promptTitle="Resolution (dpi)" prompt="Please enter the image resolution you want to use for your image files." errorTitle="Resolution (dpi)" error="Please enter a whole number greater than 0." sqref="D20">
      <formula1>0</formula1>
    </dataValidation>
    <dataValidation type="list" allowBlank="1" showErrorMessage="1" promptTitle="File Format" prompt="Please choose the file format you plan to use for the OCR result files of your digitisation project." errorTitle="File Format" error="Only the listed file formats are valid. Please choose a file format from the list." sqref="H12">
      <formula1>FileFormatsOCR</formula1>
    </dataValidation>
    <dataValidation type="whole" operator="greaterThanOrEqual" allowBlank="1" showErrorMessage="1" promptTitle="Characters per Image / Page" prompt="If available, enter the number of characters per image. Otherwise leave blank and use the above field &quot;Publication Size (Characters per Image/Page)&quot;. Note: You may not choose the publication size and enter manually the character number at the same time!" errorTitle="Characters per Image / Page" error="Please enter a whole number greater/equal 0." sqref="H20">
      <formula1>0</formula1>
    </dataValidation>
    <dataValidation type="list" showErrorMessage="1" promptTitle="Publication Size" prompt="Choose the publication size related to characters per image/page. Leave blank in case of using the below field &quot;Characters per Image/Page&quot;. Note: You may not choose the publication size and enter manually the character number at the same time!" errorTitle="Publication Size" error="Only the listed entries are valid. Please choose a publication size from the list." sqref="H16">
      <formula1>PublicationTypes</formula1>
    </dataValidation>
    <dataValidation type="whole" operator="greaterThan" allowBlank="1" showErrorMessage="1" promptTitle="Number of Master Files" prompt="Please enter the estimated number of master files (= original files from the source material) for your digitisation project.&#10;" errorTitle="Number of Master Files" error="Please enter a whole number greater than 0." sqref="B10">
      <formula1>0</formula1>
    </dataValidation>
    <dataValidation type="whole" operator="greaterThanOrEqual" allowBlank="1" showErrorMessage="1" promptTitle="Number of Derivative Files - Web" prompt="Please enter the estimated number of derivative files for your digitisation project. Typically it will be identical to the number of master files. Enter zero and ignore the following fields in case you don't store derivative files." errorTitle="Number of Master Files" error="Please enter a whole number greater than or equal to 0." sqref="F10">
      <formula1>0</formula1>
    </dataValidation>
    <dataValidation type="whole" operator="greaterThanOrEqual" allowBlank="1" showErrorMessage="1" promptTitle="Number of Derivative Files - OCR" prompt="Please enter the estimated number of derivative files for your digitisation project. Typically it will be identical to the number of master files. Enter zero and ignore the following fields in case you don't store derivative files.&#10;" errorTitle="Number of Master Files" error="Please enter a whole number greater than or equal to 0." sqref="D10">
      <formula1>0</formula1>
    </dataValidation>
    <dataValidation type="list" showErrorMessage="1" promptTitle="File Format" prompt="Please choose the (compressed) file format you plan to use for the derivative files of your digitisation project." errorTitle="File Format" error="Only the listed file formats are valid. Please choose a file format from the list. The field may not be empty." sqref="D12">
      <formula1>FileFormat_Images</formula1>
    </dataValidation>
    <dataValidation type="list" showErrorMessage="1" promptTitle="TIFF Compression Method" prompt="Please choose the according TIFF compression method. Leave blank in case you don't want to use compression. Please note: You have to select TIFF as file format. Otherwise the compression method has no influence on the result." errorTitle="TIFF Compression Method" error="Only the listed compression methods are valid. Please choose a compression method from the list." sqref="D14">
      <formula1>Compression_Methods</formula1>
    </dataValidation>
    <dataValidation type="whole" operator="greaterThan" allowBlank="1" showErrorMessage="1" promptTitle="Resolution (dpi)" prompt="Please enter the image resolution you want to use for your image files." errorTitle="Resolution (dpi)" error="Please enter a whole number greater than 0." sqref="F20">
      <formula1>0</formula1>
    </dataValidation>
    <dataValidation type="list" showErrorMessage="1" promptTitle="Unit Image Size" prompt="Please choose the linear measure." errorTitle="Unit Image Size" error="Only the listed linear measures are valid. Please choose a linear measure from the list." sqref="F28">
      <formula1>Units1</formula1>
    </dataValidation>
    <dataValidation type="decimal" operator="greaterThan" allowBlank="1" showErrorMessage="1" promptTitle="Image Height" prompt="Please enter the height of the image files and the according measure unit (same unit as for width). " errorTitle="Image Width" error="Please enter a decimal number greater than 0." sqref="B26">
      <formula1>0</formula1>
    </dataValidation>
    <dataValidation type="decimal" operator="greaterThan" allowBlank="1" showErrorMessage="1" promptTitle="Image Height" prompt="Please enter the height of the image files and the according measure unit (same unit as for width). " errorTitle="Image Width" error="Please enter a decimal number greater than 0." sqref="D26">
      <formula1>0</formula1>
    </dataValidation>
    <dataValidation type="decimal" operator="greaterThan" allowBlank="1" showErrorMessage="1" promptTitle="Image Width" prompt="Please enter the width of the image files and the according measure unit (same unit as for height). " errorTitle="Image Height" error="Please enter a decimal number greater than 0." sqref="B24 D24">
      <formula1>0</formula1>
    </dataValidation>
    <dataValidation type="whole" operator="greaterThan" allowBlank="1" showErrorMessage="1" promptTitle="Bit Depth / Colour Depth" prompt="Please enter the bit depth (= colour depth) you want to use for your image files." errorTitle="Bit Depth / Colour Depth" error="Please enter a whole number greater than 0." sqref="D22">
      <formula1>0</formula1>
    </dataValidation>
    <dataValidation type="list" showErrorMessage="1" promptTitle="TIFF Compression Method" prompt="Please choose the according TIFF compression method. Leave blank in case you don't want to use compression. Please note: You have to select TIFF as file format. Otherwise the compression method has no influence on the result." errorTitle="TIFF Compression Method" error="Only the listed compression methods are valid. Please choose a compression method from the list." sqref="B14">
      <formula1>Compression_Methods</formula1>
    </dataValidation>
    <dataValidation type="whole" operator="greaterThan" allowBlank="1" showErrorMessage="1" promptTitle="Bit Depth / Colour Depth" prompt="Please enter the bit depth (= colour depth) you want to use for your image files." errorTitle="Bit Depth / Colour Depth" error="Please enter a whole number greater than 0." sqref="B22">
      <formula1>0</formula1>
    </dataValidation>
  </dataValidations>
  <hyperlinks>
    <hyperlink ref="H39:H43" r:id="rId1" display="Although care was taken in producing this storage estimator, you use it at your own risk. IMPACT can not guarantee the absence of errors or omissions in this tool. If you find any mistakes, please contact us at impact@bsb-muenchen.de"/>
    <hyperlink ref="D51:H51" r:id="rId2" display="Provided for the IMPACT Project by the Munich DigitiZation Center (MDZ) at the Bavarian State Library, www.muenchener-digitalisierungszentrum.de."/>
  </hyperlinks>
  <printOptions horizontalCentered="1" verticalCentered="1"/>
  <pageMargins left="0" right="0" top="0" bottom="0" header="0" footer="0"/>
  <pageSetup fitToHeight="1" fitToWidth="1" horizontalDpi="300" verticalDpi="300" orientation="portrait" paperSize="9" scale="55"/>
  <drawing r:id="rId5"/>
  <legacyDrawing r:id="rId4"/>
  <picture r:id="rId6"/>
</worksheet>
</file>

<file path=xl/worksheets/sheet3.xml><?xml version="1.0" encoding="utf-8"?>
<worksheet xmlns="http://schemas.openxmlformats.org/spreadsheetml/2006/main" xmlns:r="http://schemas.openxmlformats.org/officeDocument/2006/relationships">
  <dimension ref="B2:M35"/>
  <sheetViews>
    <sheetView zoomScalePageLayoutView="0" workbookViewId="0" topLeftCell="E1">
      <selection activeCell="L17" sqref="L17"/>
    </sheetView>
  </sheetViews>
  <sheetFormatPr defaultColWidth="11.57421875" defaultRowHeight="12.75"/>
  <cols>
    <col min="1" max="1" width="2.421875" style="0" customWidth="1"/>
    <col min="2" max="2" width="37.421875" style="0" bestFit="1" customWidth="1"/>
    <col min="3" max="3" width="3.140625" style="0" customWidth="1"/>
    <col min="4" max="4" width="28.421875" style="0" bestFit="1" customWidth="1"/>
    <col min="5" max="5" width="3.140625" style="0" customWidth="1"/>
    <col min="6" max="6" width="6.421875" style="0" bestFit="1" customWidth="1"/>
    <col min="7" max="7" width="3.140625" style="0" customWidth="1"/>
    <col min="8" max="8" width="29.7109375" style="0" bestFit="1" customWidth="1"/>
    <col min="9" max="9" width="3.140625" style="0" customWidth="1"/>
    <col min="10" max="10" width="33.8515625" style="0" bestFit="1" customWidth="1"/>
    <col min="11" max="11" width="3.140625" style="0" customWidth="1"/>
    <col min="12" max="12" width="34.8515625" style="0" bestFit="1" customWidth="1"/>
    <col min="13" max="13" width="34.8515625" style="0" customWidth="1"/>
    <col min="14" max="16384" width="11.421875" style="0" customWidth="1"/>
  </cols>
  <sheetData>
    <row r="1" ht="13.5" thickBot="1"/>
    <row r="2" spans="2:13" ht="15" thickBot="1" thickTop="1">
      <c r="B2" s="73" t="s">
        <v>91</v>
      </c>
      <c r="D2" s="71" t="s">
        <v>130</v>
      </c>
      <c r="F2" s="74" t="s">
        <v>2</v>
      </c>
      <c r="H2" s="75" t="s">
        <v>10</v>
      </c>
      <c r="J2" s="76" t="s">
        <v>23</v>
      </c>
      <c r="L2" s="6" t="s">
        <v>13</v>
      </c>
      <c r="M2" s="7"/>
    </row>
    <row r="3" spans="2:13" ht="15" thickBot="1" thickTop="1">
      <c r="B3" s="203" t="s">
        <v>1</v>
      </c>
      <c r="D3" s="72"/>
      <c r="F3" s="70" t="s">
        <v>6</v>
      </c>
      <c r="H3" s="70" t="s">
        <v>20</v>
      </c>
      <c r="J3" s="77"/>
      <c r="L3" s="8" t="s">
        <v>15</v>
      </c>
      <c r="M3" s="9" t="s">
        <v>14</v>
      </c>
    </row>
    <row r="4" spans="2:13" ht="13.5" thickTop="1">
      <c r="B4" s="21" t="s">
        <v>87</v>
      </c>
      <c r="D4" s="67" t="s">
        <v>75</v>
      </c>
      <c r="F4" s="67" t="s">
        <v>3</v>
      </c>
      <c r="H4" s="67" t="s">
        <v>21</v>
      </c>
      <c r="J4" s="77" t="s">
        <v>133</v>
      </c>
      <c r="L4" s="25" t="s">
        <v>16</v>
      </c>
      <c r="M4" s="26" t="s">
        <v>16</v>
      </c>
    </row>
    <row r="5" spans="2:13" ht="13.5" thickBot="1">
      <c r="B5" s="67" t="s">
        <v>85</v>
      </c>
      <c r="D5" s="68" t="s">
        <v>76</v>
      </c>
      <c r="F5" s="67" t="s">
        <v>5</v>
      </c>
      <c r="H5" s="69" t="s">
        <v>22</v>
      </c>
      <c r="J5" s="68" t="s">
        <v>134</v>
      </c>
      <c r="L5" s="4">
        <f>IF(AND('IMPACT Storage Estimator'!B24&gt;=0,'IMPACT Storage Estimator'!B28="Inches"),'IMPACT Storage Estimator'!B24,IF(AND('IMPACT Storage Estimator'!B24&gt;=0,'IMPACT Storage Estimator'!B28="Pixel"),'IMPACT Storage Estimator'!B24/400,IF(AND('IMPACT Storage Estimator'!B24&gt;=0,'IMPACT Storage Estimator'!B28="cm"),'IMPACT Storage Estimator'!B24/2.54,IF(AND('IMPACT Storage Estimator'!B24&gt;=0,'IMPACT Storage Estimator'!B28="mm"),'IMPACT Storage Estimator'!B24/25.4,"Invalid"))))</f>
        <v>25</v>
      </c>
      <c r="M5" s="5">
        <f>IF(AND('IMPACT Storage Estimator'!B26&gt;=0,'IMPACT Storage Estimator'!B28="Inches"),'IMPACT Storage Estimator'!B26,IF(AND('IMPACT Storage Estimator'!B26&gt;=0,'IMPACT Storage Estimator'!B28="Pixel"),'IMPACT Storage Estimator'!B26/400,IF(AND('IMPACT Storage Estimator'!B26&gt;=0,'IMPACT Storage Estimator'!B28="cm"),'IMPACT Storage Estimator'!B26/2.54,IF(AND('IMPACT Storage Estimator'!B26&gt;=0,'IMPACT Storage Estimator'!B28="mm"),'IMPACT Storage Estimator'!B26/25.4,"Invalid"))))</f>
        <v>2.5</v>
      </c>
    </row>
    <row r="6" spans="2:13" ht="15" thickBot="1" thickTop="1">
      <c r="B6" s="21" t="s">
        <v>86</v>
      </c>
      <c r="D6" s="68" t="s">
        <v>77</v>
      </c>
      <c r="F6" s="69" t="s">
        <v>4</v>
      </c>
      <c r="J6" s="68" t="s">
        <v>135</v>
      </c>
      <c r="L6" s="23" t="s">
        <v>17</v>
      </c>
      <c r="M6" s="24" t="s">
        <v>17</v>
      </c>
    </row>
    <row r="7" spans="2:13" ht="13.5" thickTop="1">
      <c r="B7" s="67" t="s">
        <v>79</v>
      </c>
      <c r="D7" s="67" t="s">
        <v>78</v>
      </c>
      <c r="J7" s="68" t="s">
        <v>136</v>
      </c>
      <c r="L7" s="27">
        <f>IF(AND('IMPACT Storage Estimator'!B24&gt;=0,'IMPACT Storage Estimator'!B28="Inches"),'IMPACT Storage Estimator'!B24*400,IF(AND('IMPACT Storage Estimator'!B24&gt;=0,'IMPACT Storage Estimator'!B28="Pixel"),'IMPACT Storage Estimator'!B24,IF(AND('IMPACT Storage Estimator'!B24&gt;=0,'IMPACT Storage Estimator'!B28="cm"),'IMPACT Storage Estimator'!B24*400/2.54,IF(AND('IMPACT Storage Estimator'!B24&gt;=0,'IMPACT Storage Estimator'!B28="mm"),'IMPACT Storage Estimator'!B24*400/25.4,"Invalid"))))</f>
        <v>10000</v>
      </c>
      <c r="M7" s="30">
        <f>IF(AND('IMPACT Storage Estimator'!B26&gt;=0,'IMPACT Storage Estimator'!B28="Inches"),'IMPACT Storage Estimator'!B26*400,IF(AND('IMPACT Storage Estimator'!B26&gt;=0,'IMPACT Storage Estimator'!B28="Pixel"),'IMPACT Storage Estimator'!B26,IF(AND('IMPACT Storage Estimator'!B26&gt;=0,'IMPACT Storage Estimator'!B28="cm"),'IMPACT Storage Estimator'!B26*400/2.54,IF(AND('IMPACT Storage Estimator'!B26&gt;=0,'IMPACT Storage Estimator'!B28="mm"),'IMPACT Storage Estimator'!B26*400/25.4,"Invalid"))))</f>
        <v>1000</v>
      </c>
    </row>
    <row r="8" spans="2:13" ht="12.75">
      <c r="B8" s="67" t="s">
        <v>80</v>
      </c>
      <c r="D8" s="67" t="s">
        <v>131</v>
      </c>
      <c r="J8" s="68" t="s">
        <v>137</v>
      </c>
      <c r="L8" s="2" t="s">
        <v>19</v>
      </c>
      <c r="M8" s="3" t="s">
        <v>19</v>
      </c>
    </row>
    <row r="9" spans="2:13" ht="13.5" thickBot="1">
      <c r="B9" s="67" t="s">
        <v>81</v>
      </c>
      <c r="D9" s="78" t="s">
        <v>129</v>
      </c>
      <c r="J9" s="78" t="s">
        <v>138</v>
      </c>
      <c r="L9" s="28">
        <f>IF(AND('IMPACT Storage Estimator'!B24&gt;=0,'IMPACT Storage Estimator'!B28="Inches"),'IMPACT Storage Estimator'!B24*25.4,IF(AND('IMPACT Storage Estimator'!B24&gt;=0,'IMPACT Storage Estimator'!B28="Pixel"),'IMPACT Storage Estimator'!B24*25.4/400,IF(AND('IMPACT Storage Estimator'!B24&gt;=0,'IMPACT Storage Estimator'!B28="cm"),'IMPACT Storage Estimator'!B24*10,IF(AND('IMPACT Storage Estimator'!B24&gt;=0,'IMPACT Storage Estimator'!B28="mm"),'IMPACT Storage Estimator'!B24,"Invalid"))))</f>
        <v>635</v>
      </c>
      <c r="M9" s="31">
        <f>IF(AND('IMPACT Storage Estimator'!B26&gt;=0,'IMPACT Storage Estimator'!B28="Inches"),'IMPACT Storage Estimator'!B26*25.4,IF(AND('IMPACT Storage Estimator'!B26&gt;=0,'IMPACT Storage Estimator'!B28="Pixel"),'IMPACT Storage Estimator'!B26*25.4/400,IF(AND('IMPACT Storage Estimator'!B26&gt;=0,'IMPACT Storage Estimator'!B28="cm"),'IMPACT Storage Estimator'!B26*10,IF(AND('IMPACT Storage Estimator'!B26&gt;=0,'IMPACT Storage Estimator'!B28="mm"),'IMPACT Storage Estimator'!B26,"Invalid"))))</f>
        <v>63.5</v>
      </c>
    </row>
    <row r="10" spans="2:13" ht="13.5" thickTop="1">
      <c r="B10" s="67" t="s">
        <v>82</v>
      </c>
      <c r="L10" s="23" t="s">
        <v>18</v>
      </c>
      <c r="M10" s="24" t="s">
        <v>18</v>
      </c>
    </row>
    <row r="11" spans="2:13" ht="13.5" thickBot="1">
      <c r="B11" s="67" t="s">
        <v>83</v>
      </c>
      <c r="L11" s="29">
        <f>IF(AND('IMPACT Storage Estimator'!B24&gt;=0,'IMPACT Storage Estimator'!B28="Inches"),'IMPACT Storage Estimator'!B24*2.54,IF(AND('IMPACT Storage Estimator'!B24&gt;=0,'IMPACT Storage Estimator'!B28="Pixel"),'IMPACT Storage Estimator'!B24*2.54/400,IF(AND('IMPACT Storage Estimator'!B24&gt;=0,'IMPACT Storage Estimator'!B28="cm"),'IMPACT Storage Estimator'!B24,IF(AND('IMPACT Storage Estimator'!B24&gt;=0,'IMPACT Storage Estimator'!B28="mm"),'IMPACT Storage Estimator'!B24/10,"Invalid"))))</f>
        <v>63.5</v>
      </c>
      <c r="M11" s="32">
        <f>IF(AND('IMPACT Storage Estimator'!B26&gt;=0,'IMPACT Storage Estimator'!B28="Inches"),'IMPACT Storage Estimator'!B26*2.54,IF(AND('IMPACT Storage Estimator'!B26&gt;=0,'IMPACT Storage Estimator'!B28="Pixel"),'IMPACT Storage Estimator'!B26*2.54/400,IF(AND('IMPACT Storage Estimator'!B26&gt;=0,'IMPACT Storage Estimator'!B28="cm"),'IMPACT Storage Estimator'!B26,IF(AND('IMPACT Storage Estimator'!B26&gt;=0,'IMPACT Storage Estimator'!B28="mm"),'IMPACT Storage Estimator'!B26/10,"Invalid"))))</f>
        <v>6.35</v>
      </c>
    </row>
    <row r="12" ht="13.5" thickTop="1">
      <c r="B12" s="21" t="s">
        <v>90</v>
      </c>
    </row>
    <row r="13" ht="13.5" thickBot="1">
      <c r="B13" s="21" t="s">
        <v>88</v>
      </c>
    </row>
    <row r="14" spans="2:13" ht="13.5" thickTop="1">
      <c r="B14" s="21" t="s">
        <v>89</v>
      </c>
      <c r="L14" s="10" t="s">
        <v>139</v>
      </c>
      <c r="M14" s="11"/>
    </row>
    <row r="15" spans="2:13" ht="13.5" thickBot="1">
      <c r="B15" s="22" t="s">
        <v>84</v>
      </c>
      <c r="L15" s="12" t="s">
        <v>15</v>
      </c>
      <c r="M15" s="13" t="s">
        <v>14</v>
      </c>
    </row>
    <row r="16" spans="12:13" ht="13.5" thickTop="1">
      <c r="L16" s="25" t="s">
        <v>16</v>
      </c>
      <c r="M16" s="26" t="s">
        <v>16</v>
      </c>
    </row>
    <row r="17" spans="12:13" ht="12.75">
      <c r="L17" s="4">
        <f>IF(AND('IMPACT Storage Estimator'!D24&gt;=0,'IMPACT Storage Estimator'!D28="Inches"),'IMPACT Storage Estimator'!D24,IF(AND('IMPACT Storage Estimator'!D24&gt;=0,'IMPACT Storage Estimator'!D28="Pixel"),'IMPACT Storage Estimator'!D24/400,IF(AND('IMPACT Storage Estimator'!D24&gt;=0,'IMPACT Storage Estimator'!D28="cm"),'IMPACT Storage Estimator'!D24/2.54,IF(AND('IMPACT Storage Estimator'!D24&gt;=0,'IMPACT Storage Estimator'!D28="mm"),'IMPACT Storage Estimator'!D24/25.4,"Invalid"))))</f>
        <v>25</v>
      </c>
      <c r="M17" s="5">
        <f>IF(AND('IMPACT Storage Estimator'!D26&gt;=0,'IMPACT Storage Estimator'!D28="Inches"),'IMPACT Storage Estimator'!D26,IF(AND('IMPACT Storage Estimator'!D26&gt;=0,'IMPACT Storage Estimator'!D28="Pixel"),'IMPACT Storage Estimator'!D26/400,IF(AND('IMPACT Storage Estimator'!D26&gt;=0,'IMPACT Storage Estimator'!D28="cm"),'IMPACT Storage Estimator'!D26/2.54,IF(AND('IMPACT Storage Estimator'!D26&gt;=0,'IMPACT Storage Estimator'!D28="mm"),'IMPACT Storage Estimator'!D26/25.4,"Invalid"))))</f>
        <v>2.5</v>
      </c>
    </row>
    <row r="18" spans="12:13" ht="12.75">
      <c r="L18" s="23" t="s">
        <v>17</v>
      </c>
      <c r="M18" s="24" t="s">
        <v>17</v>
      </c>
    </row>
    <row r="19" spans="12:13" ht="12.75">
      <c r="L19" s="27">
        <f>IF(AND('IMPACT Storage Estimator'!D24&gt;=0,'IMPACT Storage Estimator'!D28="Inches"),'IMPACT Storage Estimator'!D24*400,IF(AND('IMPACT Storage Estimator'!D24&gt;=0,'IMPACT Storage Estimator'!D28="Pixel"),'IMPACT Storage Estimator'!D24,IF(AND('IMPACT Storage Estimator'!D24&gt;=0,'IMPACT Storage Estimator'!D28="cm"),'IMPACT Storage Estimator'!D24*400/2.54,IF(AND('IMPACT Storage Estimator'!D24&gt;=0,'IMPACT Storage Estimator'!D28="mm"),'IMPACT Storage Estimator'!D24*400/25.4,"Invalid"))))</f>
        <v>10000</v>
      </c>
      <c r="M19" s="30">
        <f>IF(AND('IMPACT Storage Estimator'!D26&gt;=0,'IMPACT Storage Estimator'!D28="Inches"),'IMPACT Storage Estimator'!D26*400,IF(AND('IMPACT Storage Estimator'!D26&gt;=0,'IMPACT Storage Estimator'!D28="Pixel"),'IMPACT Storage Estimator'!D26,IF(AND('IMPACT Storage Estimator'!D26&gt;=0,'IMPACT Storage Estimator'!D28="cm"),'IMPACT Storage Estimator'!D26*400/2.54,IF(AND('IMPACT Storage Estimator'!D26&gt;=0,'IMPACT Storage Estimator'!D28="mm"),'IMPACT Storage Estimator'!D26*400/25.4,"Invalid"))))</f>
        <v>1000</v>
      </c>
    </row>
    <row r="20" spans="12:13" ht="12.75">
      <c r="L20" s="2" t="s">
        <v>19</v>
      </c>
      <c r="M20" s="3" t="s">
        <v>19</v>
      </c>
    </row>
    <row r="21" spans="12:13" ht="12.75">
      <c r="L21" s="28">
        <f>IF(AND('IMPACT Storage Estimator'!D24&gt;=0,'IMPACT Storage Estimator'!D28="Inches"),'IMPACT Storage Estimator'!D24*25.4,IF(AND('IMPACT Storage Estimator'!D24&gt;=0,'IMPACT Storage Estimator'!D28="Pixel"),'IMPACT Storage Estimator'!D24*25.4/400,IF(AND('IMPACT Storage Estimator'!D24&gt;=0,'IMPACT Storage Estimator'!D28="cm"),'IMPACT Storage Estimator'!D24*10,IF(AND('IMPACT Storage Estimator'!D24&gt;=0,'IMPACT Storage Estimator'!D28="mm"),'IMPACT Storage Estimator'!D24,"Invalid"))))</f>
        <v>635</v>
      </c>
      <c r="M21" s="31">
        <f>IF(AND('IMPACT Storage Estimator'!D26&gt;=0,'IMPACT Storage Estimator'!D28="Inches"),'IMPACT Storage Estimator'!D26*25.4,IF(AND('IMPACT Storage Estimator'!D26&gt;=0,'IMPACT Storage Estimator'!D28="Pixel"),'IMPACT Storage Estimator'!D26*25.4/400,IF(AND('IMPACT Storage Estimator'!D26&gt;=0,'IMPACT Storage Estimator'!D28="cm"),'IMPACT Storage Estimator'!D26*10,IF(AND('IMPACT Storage Estimator'!D26&gt;=0,'IMPACT Storage Estimator'!D28="mm"),'IMPACT Storage Estimator'!D26,"Invalid"))))</f>
        <v>63.5</v>
      </c>
    </row>
    <row r="22" spans="12:13" ht="12.75">
      <c r="L22" s="23" t="s">
        <v>18</v>
      </c>
      <c r="M22" s="24" t="s">
        <v>18</v>
      </c>
    </row>
    <row r="23" spans="12:13" ht="13.5" thickBot="1">
      <c r="L23" s="29">
        <f>IF(AND('IMPACT Storage Estimator'!D24&gt;=0,'IMPACT Storage Estimator'!D28="Inches"),'IMPACT Storage Estimator'!D24*2.54,IF(AND('IMPACT Storage Estimator'!D24&gt;=0,'IMPACT Storage Estimator'!D28="Pixel"),'IMPACT Storage Estimator'!D24*2.54/400,IF(AND('IMPACT Storage Estimator'!D24&gt;=0,'IMPACT Storage Estimator'!D28="cm"),'IMPACT Storage Estimator'!D24,IF(AND('IMPACT Storage Estimator'!D24&gt;=0,'IMPACT Storage Estimator'!D28="mm"),'IMPACT Storage Estimator'!D24/10,"Invalid"))))</f>
        <v>63.5</v>
      </c>
      <c r="M23" s="32">
        <f>IF(AND('IMPACT Storage Estimator'!D26&gt;=0,'IMPACT Storage Estimator'!D28="Inches"),'IMPACT Storage Estimator'!D26*2.54,IF(AND('IMPACT Storage Estimator'!D26&gt;=0,'IMPACT Storage Estimator'!D28="Pixel"),'IMPACT Storage Estimator'!D26*2.54/400,IF(AND('IMPACT Storage Estimator'!D26&gt;=0,'IMPACT Storage Estimator'!D28="cm"),'IMPACT Storage Estimator'!D26,IF(AND('IMPACT Storage Estimator'!D26&gt;=0,'IMPACT Storage Estimator'!D28="mm"),'IMPACT Storage Estimator'!D26/10,"Invalid"))))</f>
        <v>6.35</v>
      </c>
    </row>
    <row r="24" ht="13.5" thickTop="1"/>
    <row r="25" ht="13.5" thickBot="1"/>
    <row r="26" spans="12:13" ht="13.5" thickTop="1">
      <c r="L26" s="14" t="s">
        <v>140</v>
      </c>
      <c r="M26" s="15"/>
    </row>
    <row r="27" spans="12:13" ht="13.5" thickBot="1">
      <c r="L27" s="16" t="s">
        <v>15</v>
      </c>
      <c r="M27" s="17" t="s">
        <v>14</v>
      </c>
    </row>
    <row r="28" spans="12:13" ht="13.5" thickTop="1">
      <c r="L28" s="25" t="s">
        <v>16</v>
      </c>
      <c r="M28" s="26" t="s">
        <v>16</v>
      </c>
    </row>
    <row r="29" spans="12:13" ht="12.75">
      <c r="L29" s="4">
        <f>IF(AND('IMPACT Storage Estimator'!F24&gt;=0,'IMPACT Storage Estimator'!F28="Inches"),'IMPACT Storage Estimator'!F24,IF(AND('IMPACT Storage Estimator'!F24&gt;=0,'IMPACT Storage Estimator'!F28="Pixel"),'IMPACT Storage Estimator'!F24/400,IF(AND('IMPACT Storage Estimator'!F24&gt;=0,'IMPACT Storage Estimator'!F28="cm"),'IMPACT Storage Estimator'!F24/2.54,IF(AND('IMPACT Storage Estimator'!F24&gt;=0,'IMPACT Storage Estimator'!F28="mm"),'IMPACT Storage Estimator'!F24/25.4,"Invalid"))))</f>
        <v>25</v>
      </c>
      <c r="M29" s="5">
        <f>IF(AND('IMPACT Storage Estimator'!F26&gt;=0,'IMPACT Storage Estimator'!F28="Inches"),'IMPACT Storage Estimator'!F26,IF(AND('IMPACT Storage Estimator'!F26&gt;=0,'IMPACT Storage Estimator'!F28="Pixel"),'IMPACT Storage Estimator'!F26/400,IF(AND('IMPACT Storage Estimator'!F26&gt;=0,'IMPACT Storage Estimator'!F28="cm"),'IMPACT Storage Estimator'!F26/2.54,IF(AND('IMPACT Storage Estimator'!F26&gt;=0,'IMPACT Storage Estimator'!F28="mm"),'IMPACT Storage Estimator'!F26/25.4,"Invalid"))))</f>
        <v>2.5</v>
      </c>
    </row>
    <row r="30" spans="12:13" ht="12.75">
      <c r="L30" s="23" t="s">
        <v>17</v>
      </c>
      <c r="M30" s="24" t="s">
        <v>17</v>
      </c>
    </row>
    <row r="31" spans="12:13" ht="12.75">
      <c r="L31" s="27">
        <f>IF(AND('IMPACT Storage Estimator'!F24&gt;=0,'IMPACT Storage Estimator'!F28="Inches"),'IMPACT Storage Estimator'!F24*400,IF(AND('IMPACT Storage Estimator'!F24&gt;=0,'IMPACT Storage Estimator'!F28="Pixel"),'IMPACT Storage Estimator'!F24,IF(AND('IMPACT Storage Estimator'!F24&gt;=0,'IMPACT Storage Estimator'!F28="cm"),'IMPACT Storage Estimator'!F24*400/2.54,IF(AND('IMPACT Storage Estimator'!F24&gt;=0,'IMPACT Storage Estimator'!F28="mm"),'IMPACT Storage Estimator'!F24*400/25.4,"Invalid"))))</f>
        <v>10000</v>
      </c>
      <c r="M31" s="30">
        <f>IF(AND('IMPACT Storage Estimator'!F26&gt;=0,'IMPACT Storage Estimator'!F28="Inches"),'IMPACT Storage Estimator'!F26*400,IF(AND('IMPACT Storage Estimator'!F26&gt;=0,'IMPACT Storage Estimator'!F28="Pixel"),'IMPACT Storage Estimator'!F26,IF(AND('IMPACT Storage Estimator'!F26&gt;=0,'IMPACT Storage Estimator'!F28="cm"),'IMPACT Storage Estimator'!F26*400/2.54,IF(AND('IMPACT Storage Estimator'!F26&gt;=0,'IMPACT Storage Estimator'!F28="mm"),'IMPACT Storage Estimator'!F26*400/25.4,"Invalid"))))</f>
        <v>1000</v>
      </c>
    </row>
    <row r="32" spans="12:13" ht="12.75">
      <c r="L32" s="2" t="s">
        <v>19</v>
      </c>
      <c r="M32" s="3" t="s">
        <v>19</v>
      </c>
    </row>
    <row r="33" spans="12:13" ht="12.75">
      <c r="L33" s="28">
        <f>IF(AND('IMPACT Storage Estimator'!F24&gt;=0,'IMPACT Storage Estimator'!F28="Inches"),'IMPACT Storage Estimator'!F24*25.4,IF(AND('IMPACT Storage Estimator'!F24&gt;=0,'IMPACT Storage Estimator'!F28="Pixel"),'IMPACT Storage Estimator'!F24*25.4/400,IF(AND('IMPACT Storage Estimator'!F24&gt;=0,'IMPACT Storage Estimator'!F28="cm"),'IMPACT Storage Estimator'!F24*10,IF(AND('IMPACT Storage Estimator'!F24&gt;=0,'IMPACT Storage Estimator'!F28="mm"),'IMPACT Storage Estimator'!F24,"Invalid"))))</f>
        <v>635</v>
      </c>
      <c r="M33" s="31">
        <f>IF(AND('IMPACT Storage Estimator'!F26&gt;=0,'IMPACT Storage Estimator'!F28="Inches"),'IMPACT Storage Estimator'!F26*25.4,IF(AND('IMPACT Storage Estimator'!F26&gt;=0,'IMPACT Storage Estimator'!F28="Pixel"),'IMPACT Storage Estimator'!F26*25.4/400,IF(AND('IMPACT Storage Estimator'!F26&gt;=0,'IMPACT Storage Estimator'!F28="cm"),'IMPACT Storage Estimator'!F26*10,IF(AND('IMPACT Storage Estimator'!F26&gt;=0,'IMPACT Storage Estimator'!F28="mm"),'IMPACT Storage Estimator'!F26,"Invalid"))))</f>
        <v>63.5</v>
      </c>
    </row>
    <row r="34" spans="12:13" ht="12.75">
      <c r="L34" s="23" t="s">
        <v>18</v>
      </c>
      <c r="M34" s="24" t="s">
        <v>18</v>
      </c>
    </row>
    <row r="35" spans="12:13" ht="13.5" thickBot="1">
      <c r="L35" s="29">
        <f>IF(AND('IMPACT Storage Estimator'!F24&gt;=0,'IMPACT Storage Estimator'!F28="Inches"),'IMPACT Storage Estimator'!F24*2.54,IF(AND('IMPACT Storage Estimator'!F24&gt;=0,'IMPACT Storage Estimator'!F28="Pixel"),'IMPACT Storage Estimator'!F24*2.54/400,IF(AND('IMPACT Storage Estimator'!F24&gt;=0,'IMPACT Storage Estimator'!F28="cm"),'IMPACT Storage Estimator'!F24,IF(AND('IMPACT Storage Estimator'!F24&gt;=0,'IMPACT Storage Estimator'!F28="mm"),'IMPACT Storage Estimator'!F24/10,"Invalid"))))</f>
        <v>63.5</v>
      </c>
      <c r="M35" s="32">
        <f>IF(AND('IMPACT Storage Estimator'!F26&gt;=0,'IMPACT Storage Estimator'!F28="Inches"),'IMPACT Storage Estimator'!F26*2.54,IF(AND('IMPACT Storage Estimator'!F26&gt;=0,'IMPACT Storage Estimator'!F28="Pixel"),'IMPACT Storage Estimator'!F26*2.54/400,IF(AND('IMPACT Storage Estimator'!F26&gt;=0,'IMPACT Storage Estimator'!F28="cm"),'IMPACT Storage Estimator'!F26,IF(AND('IMPACT Storage Estimator'!F26&gt;=0,'IMPACT Storage Estimator'!F28="mm"),'IMPACT Storage Estimator'!F26/10,"Invalid"))))</f>
        <v>6.35</v>
      </c>
    </row>
    <row r="36" ht="13.5" thickTop="1"/>
  </sheetData>
  <sheetProtection sheet="1" selectLockedCells="1"/>
  <printOptions/>
  <pageMargins left="0.787401575" right="0.787401575" top="0.984251969" bottom="0.984251969" header="0.4921259845" footer="0.4921259845"/>
  <pageSetup horizontalDpi="300" verticalDpi="300" orientation="portrait" paperSize="9"/>
</worksheet>
</file>

<file path=xl/worksheets/sheet4.xml><?xml version="1.0" encoding="utf-8"?>
<worksheet xmlns="http://schemas.openxmlformats.org/spreadsheetml/2006/main" xmlns:r="http://schemas.openxmlformats.org/officeDocument/2006/relationships">
  <sheetPr>
    <pageSetUpPr fitToPage="1"/>
  </sheetPr>
  <dimension ref="B1:AC32"/>
  <sheetViews>
    <sheetView zoomScalePageLayoutView="0" workbookViewId="0" topLeftCell="A1">
      <selection activeCell="C31" sqref="C31"/>
    </sheetView>
  </sheetViews>
  <sheetFormatPr defaultColWidth="11.57421875" defaultRowHeight="12.75"/>
  <cols>
    <col min="1" max="1" width="2.421875" style="0" customWidth="1"/>
    <col min="2" max="2" width="52.7109375" style="0" bestFit="1" customWidth="1"/>
    <col min="3" max="3" width="20.8515625" style="0" bestFit="1" customWidth="1"/>
    <col min="4" max="4" width="31.421875" style="0" bestFit="1" customWidth="1"/>
    <col min="5" max="5" width="15.140625" style="0" bestFit="1" customWidth="1"/>
    <col min="6" max="6" width="10.140625" style="0" bestFit="1" customWidth="1"/>
    <col min="7" max="7" width="14.421875" style="0" bestFit="1" customWidth="1"/>
    <col min="8" max="8" width="20.28125" style="0" bestFit="1" customWidth="1"/>
    <col min="9" max="9" width="24.8515625" style="0" bestFit="1" customWidth="1"/>
    <col min="10" max="10" width="25.00390625" style="0" bestFit="1" customWidth="1"/>
    <col min="11" max="11" width="29.421875" style="0" bestFit="1" customWidth="1"/>
    <col min="12" max="12" width="28.28125" style="0" bestFit="1" customWidth="1"/>
    <col min="13" max="13" width="32.8515625" style="0" bestFit="1" customWidth="1"/>
    <col min="14" max="14" width="23.8515625" style="0" bestFit="1" customWidth="1"/>
    <col min="15" max="15" width="28.421875" style="0" bestFit="1" customWidth="1"/>
    <col min="16" max="16" width="25.8515625" style="0" hidden="1" customWidth="1"/>
    <col min="17" max="17" width="30.421875" style="0" hidden="1" customWidth="1"/>
    <col min="18" max="18" width="27.421875" style="0" bestFit="1" customWidth="1"/>
    <col min="19" max="19" width="32.140625" style="0" bestFit="1" customWidth="1"/>
    <col min="20" max="20" width="26.421875" style="0" bestFit="1" customWidth="1"/>
    <col min="21" max="21" width="31.00390625" style="0" bestFit="1" customWidth="1"/>
    <col min="22" max="22" width="25.28125" style="0" bestFit="1" customWidth="1"/>
    <col min="23" max="23" width="29.8515625" style="0" bestFit="1" customWidth="1"/>
    <col min="24" max="24" width="20.421875" style="0" bestFit="1" customWidth="1"/>
    <col min="25" max="25" width="25.00390625" style="0" bestFit="1" customWidth="1"/>
    <col min="26" max="26" width="19.421875" style="0" bestFit="1" customWidth="1"/>
    <col min="27" max="27" width="24.00390625" style="0" bestFit="1" customWidth="1"/>
    <col min="28" max="28" width="20.28125" style="0" bestFit="1" customWidth="1"/>
    <col min="29" max="29" width="25.140625" style="0" bestFit="1" customWidth="1"/>
    <col min="30" max="16384" width="11.421875" style="0" customWidth="1"/>
  </cols>
  <sheetData>
    <row r="1" ht="13.5" thickBot="1">
      <c r="P1" s="1"/>
    </row>
    <row r="2" spans="2:29" ht="15" thickBot="1" thickTop="1">
      <c r="B2" s="237" t="s">
        <v>178</v>
      </c>
      <c r="C2" s="93" t="s">
        <v>160</v>
      </c>
      <c r="D2" s="136" t="s">
        <v>25</v>
      </c>
      <c r="E2" s="136" t="s">
        <v>159</v>
      </c>
      <c r="F2" s="136" t="s">
        <v>26</v>
      </c>
      <c r="G2" s="128" t="s">
        <v>27</v>
      </c>
      <c r="H2" s="95" t="s">
        <v>28</v>
      </c>
      <c r="I2" s="152" t="s">
        <v>29</v>
      </c>
      <c r="J2" s="95" t="s">
        <v>30</v>
      </c>
      <c r="K2" s="152" t="s">
        <v>31</v>
      </c>
      <c r="L2" s="95" t="s">
        <v>32</v>
      </c>
      <c r="M2" s="96" t="s">
        <v>33</v>
      </c>
      <c r="N2" s="95" t="s">
        <v>34</v>
      </c>
      <c r="O2" s="152" t="s">
        <v>35</v>
      </c>
      <c r="P2" s="95" t="s">
        <v>36</v>
      </c>
      <c r="Q2" s="152" t="s">
        <v>37</v>
      </c>
      <c r="R2" s="97" t="s">
        <v>38</v>
      </c>
      <c r="S2" s="153" t="s">
        <v>39</v>
      </c>
      <c r="T2" s="97" t="s">
        <v>40</v>
      </c>
      <c r="U2" s="153" t="s">
        <v>41</v>
      </c>
      <c r="V2" s="97" t="s">
        <v>42</v>
      </c>
      <c r="W2" s="153" t="s">
        <v>43</v>
      </c>
      <c r="X2" s="99" t="s">
        <v>44</v>
      </c>
      <c r="Y2" s="154" t="s">
        <v>45</v>
      </c>
      <c r="Z2" s="155" t="s">
        <v>46</v>
      </c>
      <c r="AA2" s="156" t="s">
        <v>47</v>
      </c>
      <c r="AB2" s="150" t="s">
        <v>48</v>
      </c>
      <c r="AC2" s="151" t="s">
        <v>49</v>
      </c>
    </row>
    <row r="3" spans="2:29" ht="13.5" thickTop="1">
      <c r="B3" s="238"/>
      <c r="C3" s="38" t="s">
        <v>50</v>
      </c>
      <c r="D3" s="39" t="s">
        <v>51</v>
      </c>
      <c r="E3" s="40">
        <v>300</v>
      </c>
      <c r="F3" s="40">
        <v>24</v>
      </c>
      <c r="G3" s="41" t="s">
        <v>52</v>
      </c>
      <c r="H3" s="38">
        <v>8865</v>
      </c>
      <c r="I3" s="41">
        <v>100</v>
      </c>
      <c r="J3" s="38">
        <v>6808</v>
      </c>
      <c r="K3" s="42">
        <f aca="true" t="shared" si="0" ref="K3:K11">J3*I3/H3</f>
        <v>76.79639029892837</v>
      </c>
      <c r="L3" s="171"/>
      <c r="M3" s="79"/>
      <c r="N3" s="38">
        <v>6635</v>
      </c>
      <c r="O3" s="42">
        <f aca="true" t="shared" si="1" ref="O3:O11">N3*I3/H3</f>
        <v>74.8448956570784</v>
      </c>
      <c r="P3" s="38">
        <v>2587</v>
      </c>
      <c r="Q3" s="42">
        <f aca="true" t="shared" si="2" ref="Q3:Q8">P3*I3/H3</f>
        <v>29.182177100958828</v>
      </c>
      <c r="R3" s="38">
        <v>2052</v>
      </c>
      <c r="S3" s="42">
        <f aca="true" t="shared" si="3" ref="S3:S8">R3*I3/H3</f>
        <v>23.14720812182741</v>
      </c>
      <c r="T3" s="38">
        <v>232</v>
      </c>
      <c r="U3" s="42">
        <f aca="true" t="shared" si="4" ref="U3:U8">T3*I3/H3</f>
        <v>2.617033276931754</v>
      </c>
      <c r="V3" s="38">
        <v>3941</v>
      </c>
      <c r="W3" s="42">
        <f aca="true" t="shared" si="5" ref="W3:W8">V3*I3/H3</f>
        <v>44.455724760293286</v>
      </c>
      <c r="X3" s="38">
        <v>8737</v>
      </c>
      <c r="Y3" s="42">
        <f aca="true" t="shared" si="6" ref="Y3:Y11">X3*I3/H3</f>
        <v>98.55611957134799</v>
      </c>
      <c r="Z3" s="38">
        <v>1570</v>
      </c>
      <c r="AA3" s="42">
        <f aca="true" t="shared" si="7" ref="AA3:AA11">Z3*I3/H3</f>
        <v>17.710095882684715</v>
      </c>
      <c r="AB3" s="43">
        <v>4114</v>
      </c>
      <c r="AC3" s="44">
        <f aca="true" t="shared" si="8" ref="AC3:AC11">AB3*I3/H3</f>
        <v>46.40721940214326</v>
      </c>
    </row>
    <row r="4" spans="2:29" ht="12.75">
      <c r="B4" s="238"/>
      <c r="C4" s="45" t="s">
        <v>53</v>
      </c>
      <c r="D4" s="46" t="s">
        <v>54</v>
      </c>
      <c r="E4" s="47">
        <v>400</v>
      </c>
      <c r="F4" s="47">
        <v>24</v>
      </c>
      <c r="G4" s="48" t="s">
        <v>55</v>
      </c>
      <c r="H4" s="45">
        <v>25009</v>
      </c>
      <c r="I4" s="48">
        <v>100</v>
      </c>
      <c r="J4" s="45">
        <v>20668</v>
      </c>
      <c r="K4" s="49">
        <f>J4*I4/H4</f>
        <v>82.64224879043545</v>
      </c>
      <c r="L4" s="172"/>
      <c r="M4" s="80"/>
      <c r="N4" s="45">
        <v>19384</v>
      </c>
      <c r="O4" s="49">
        <f t="shared" si="1"/>
        <v>77.50809708504939</v>
      </c>
      <c r="P4" s="45">
        <v>8188</v>
      </c>
      <c r="Q4" s="49">
        <f t="shared" si="2"/>
        <v>32.74021352313167</v>
      </c>
      <c r="R4" s="45">
        <v>6234</v>
      </c>
      <c r="S4" s="49">
        <f>R4*I4/H4</f>
        <v>24.927026270542605</v>
      </c>
      <c r="T4" s="45">
        <v>727</v>
      </c>
      <c r="U4" s="49">
        <f t="shared" si="4"/>
        <v>2.906953496741173</v>
      </c>
      <c r="V4" s="45">
        <v>11786</v>
      </c>
      <c r="W4" s="49">
        <f t="shared" si="5"/>
        <v>47.12703426766364</v>
      </c>
      <c r="X4" s="45">
        <v>24713</v>
      </c>
      <c r="Y4" s="49">
        <f t="shared" si="6"/>
        <v>98.81642608660881</v>
      </c>
      <c r="Z4" s="45">
        <v>5016</v>
      </c>
      <c r="AA4" s="49">
        <f t="shared" si="7"/>
        <v>20.05677955935863</v>
      </c>
      <c r="AB4" s="45">
        <v>13130</v>
      </c>
      <c r="AC4" s="49">
        <f t="shared" si="8"/>
        <v>52.50109960414251</v>
      </c>
    </row>
    <row r="5" spans="2:29" ht="12.75">
      <c r="B5" s="238"/>
      <c r="C5" s="50" t="s">
        <v>50</v>
      </c>
      <c r="D5" s="51" t="s">
        <v>56</v>
      </c>
      <c r="E5" s="52">
        <v>400</v>
      </c>
      <c r="F5" s="52">
        <v>8</v>
      </c>
      <c r="G5" s="53" t="s">
        <v>57</v>
      </c>
      <c r="H5" s="50">
        <v>5099</v>
      </c>
      <c r="I5" s="53">
        <v>100</v>
      </c>
      <c r="J5" s="50">
        <v>3978</v>
      </c>
      <c r="K5" s="54">
        <f t="shared" si="0"/>
        <v>78.01529711708179</v>
      </c>
      <c r="L5" s="173"/>
      <c r="M5" s="81"/>
      <c r="N5" s="50">
        <v>3608</v>
      </c>
      <c r="O5" s="54">
        <f t="shared" si="1"/>
        <v>70.75897234751912</v>
      </c>
      <c r="P5" s="50">
        <v>1958</v>
      </c>
      <c r="Q5" s="54">
        <f t="shared" si="2"/>
        <v>38.399686212982935</v>
      </c>
      <c r="R5" s="50">
        <v>2715</v>
      </c>
      <c r="S5" s="54">
        <f t="shared" si="3"/>
        <v>53.24573445773681</v>
      </c>
      <c r="T5" s="50">
        <v>231</v>
      </c>
      <c r="U5" s="54">
        <f t="shared" si="4"/>
        <v>4.530300058835065</v>
      </c>
      <c r="V5" s="50">
        <v>2323</v>
      </c>
      <c r="W5" s="54">
        <f t="shared" si="5"/>
        <v>45.55795253971367</v>
      </c>
      <c r="X5" s="50">
        <v>5106</v>
      </c>
      <c r="Y5" s="54">
        <f t="shared" si="6"/>
        <v>100.1372818199647</v>
      </c>
      <c r="Z5" s="50">
        <v>3943</v>
      </c>
      <c r="AA5" s="54">
        <f t="shared" si="7"/>
        <v>77.32888801725828</v>
      </c>
      <c r="AB5" s="50">
        <v>2982</v>
      </c>
      <c r="AC5" s="54">
        <f t="shared" si="8"/>
        <v>58.482055304961754</v>
      </c>
    </row>
    <row r="6" spans="2:29" ht="12.75">
      <c r="B6" s="238"/>
      <c r="C6" s="50" t="s">
        <v>58</v>
      </c>
      <c r="D6" s="51" t="s">
        <v>59</v>
      </c>
      <c r="E6" s="52">
        <v>300</v>
      </c>
      <c r="F6" s="52">
        <v>8</v>
      </c>
      <c r="G6" s="53" t="s">
        <v>60</v>
      </c>
      <c r="H6" s="50">
        <v>20495</v>
      </c>
      <c r="I6" s="53">
        <v>100</v>
      </c>
      <c r="J6" s="50">
        <v>17380</v>
      </c>
      <c r="K6" s="54">
        <f t="shared" si="0"/>
        <v>84.8011710173213</v>
      </c>
      <c r="L6" s="173"/>
      <c r="M6" s="81"/>
      <c r="N6" s="50">
        <v>14185</v>
      </c>
      <c r="O6" s="54">
        <f t="shared" si="1"/>
        <v>69.21200292754331</v>
      </c>
      <c r="P6" s="50">
        <v>7688</v>
      </c>
      <c r="Q6" s="54">
        <f t="shared" si="2"/>
        <v>37.51158819224201</v>
      </c>
      <c r="R6" s="50">
        <v>7593</v>
      </c>
      <c r="S6" s="54">
        <f t="shared" si="3"/>
        <v>37.0480605025616</v>
      </c>
      <c r="T6" s="50">
        <v>2216</v>
      </c>
      <c r="U6" s="54">
        <f t="shared" si="4"/>
        <v>10.812393266650403</v>
      </c>
      <c r="V6" s="50">
        <v>10660</v>
      </c>
      <c r="W6" s="54">
        <f t="shared" si="5"/>
        <v>52.01268602098073</v>
      </c>
      <c r="X6" s="50">
        <v>20505</v>
      </c>
      <c r="Y6" s="54">
        <f t="shared" si="6"/>
        <v>100.04879238838741</v>
      </c>
      <c r="Z6" s="50">
        <v>17431</v>
      </c>
      <c r="AA6" s="54">
        <f t="shared" si="7"/>
        <v>85.0500121980971</v>
      </c>
      <c r="AB6" s="50">
        <v>12122</v>
      </c>
      <c r="AC6" s="54">
        <f t="shared" si="8"/>
        <v>59.146133203220295</v>
      </c>
    </row>
    <row r="7" spans="2:29" ht="12.75">
      <c r="B7" s="238"/>
      <c r="C7" s="50" t="s">
        <v>61</v>
      </c>
      <c r="D7" s="51" t="s">
        <v>62</v>
      </c>
      <c r="E7" s="52">
        <v>300</v>
      </c>
      <c r="F7" s="52">
        <v>8</v>
      </c>
      <c r="G7" s="53" t="s">
        <v>63</v>
      </c>
      <c r="H7" s="50">
        <v>7455</v>
      </c>
      <c r="I7" s="53">
        <v>100</v>
      </c>
      <c r="J7" s="50">
        <v>6619</v>
      </c>
      <c r="K7" s="54">
        <f t="shared" si="0"/>
        <v>88.78604963112005</v>
      </c>
      <c r="L7" s="173"/>
      <c r="M7" s="81"/>
      <c r="N7" s="50">
        <v>5650</v>
      </c>
      <c r="O7" s="54">
        <f t="shared" si="1"/>
        <v>75.78806170355466</v>
      </c>
      <c r="P7" s="50">
        <v>5412</v>
      </c>
      <c r="Q7" s="54">
        <f t="shared" si="2"/>
        <v>72.59557344064386</v>
      </c>
      <c r="R7" s="50">
        <v>3615</v>
      </c>
      <c r="S7" s="54">
        <f t="shared" si="3"/>
        <v>48.49094567404426</v>
      </c>
      <c r="T7" s="50">
        <v>1134</v>
      </c>
      <c r="U7" s="54">
        <f t="shared" si="4"/>
        <v>15.211267605633802</v>
      </c>
      <c r="V7" s="50">
        <v>4433</v>
      </c>
      <c r="W7" s="54">
        <f t="shared" si="5"/>
        <v>59.4634473507713</v>
      </c>
      <c r="X7" s="50">
        <v>7446</v>
      </c>
      <c r="Y7" s="54">
        <f t="shared" si="6"/>
        <v>99.87927565392354</v>
      </c>
      <c r="Z7" s="50">
        <v>6575</v>
      </c>
      <c r="AA7" s="54">
        <f t="shared" si="7"/>
        <v>88.19584171696847</v>
      </c>
      <c r="AB7" s="50">
        <v>5501</v>
      </c>
      <c r="AC7" s="54">
        <f t="shared" si="8"/>
        <v>73.78940308517774</v>
      </c>
    </row>
    <row r="8" spans="2:29" ht="12.75">
      <c r="B8" s="238"/>
      <c r="C8" s="50" t="s">
        <v>58</v>
      </c>
      <c r="D8" s="51" t="s">
        <v>64</v>
      </c>
      <c r="E8" s="52">
        <v>300</v>
      </c>
      <c r="F8" s="52">
        <v>8</v>
      </c>
      <c r="G8" s="53" t="s">
        <v>65</v>
      </c>
      <c r="H8" s="50">
        <v>20492</v>
      </c>
      <c r="I8" s="53">
        <v>100</v>
      </c>
      <c r="J8" s="50">
        <v>13803</v>
      </c>
      <c r="K8" s="54">
        <f t="shared" si="0"/>
        <v>67.35799336326372</v>
      </c>
      <c r="L8" s="174"/>
      <c r="M8" s="82"/>
      <c r="N8" s="50">
        <v>11552</v>
      </c>
      <c r="O8" s="54">
        <f t="shared" si="1"/>
        <v>56.37321881709936</v>
      </c>
      <c r="P8" s="50">
        <v>11263</v>
      </c>
      <c r="Q8" s="54">
        <f t="shared" si="2"/>
        <v>54.96291235604138</v>
      </c>
      <c r="R8" s="50">
        <v>14095</v>
      </c>
      <c r="S8" s="54">
        <f t="shared" si="3"/>
        <v>68.78293968377903</v>
      </c>
      <c r="T8" s="50">
        <v>1387</v>
      </c>
      <c r="U8" s="54">
        <f t="shared" si="4"/>
        <v>6.768495022447785</v>
      </c>
      <c r="V8" s="50">
        <v>11728</v>
      </c>
      <c r="W8" s="54">
        <f t="shared" si="5"/>
        <v>57.232090571930506</v>
      </c>
      <c r="X8" s="50">
        <v>20493</v>
      </c>
      <c r="Y8" s="54">
        <f t="shared" si="6"/>
        <v>100.00487995315245</v>
      </c>
      <c r="Z8" s="50">
        <v>13807</v>
      </c>
      <c r="AA8" s="54">
        <f t="shared" si="7"/>
        <v>67.37751317587352</v>
      </c>
      <c r="AB8" s="50">
        <v>11032</v>
      </c>
      <c r="AC8" s="54">
        <f t="shared" si="8"/>
        <v>53.835643177825496</v>
      </c>
    </row>
    <row r="9" spans="2:29" ht="12.75">
      <c r="B9" s="238"/>
      <c r="C9" s="55" t="s">
        <v>66</v>
      </c>
      <c r="D9" s="56" t="s">
        <v>67</v>
      </c>
      <c r="E9" s="57">
        <v>300</v>
      </c>
      <c r="F9" s="57">
        <v>1</v>
      </c>
      <c r="G9" s="58" t="s">
        <v>68</v>
      </c>
      <c r="H9" s="55">
        <v>2218</v>
      </c>
      <c r="I9" s="58">
        <v>100</v>
      </c>
      <c r="J9" s="2">
        <v>716</v>
      </c>
      <c r="K9" s="5">
        <f t="shared" si="0"/>
        <v>32.281334535617674</v>
      </c>
      <c r="L9" s="2">
        <v>361</v>
      </c>
      <c r="M9" s="170">
        <f>L9*I9/H9</f>
        <v>16.275924256086565</v>
      </c>
      <c r="N9" s="2">
        <v>640</v>
      </c>
      <c r="O9" s="5">
        <f t="shared" si="1"/>
        <v>28.85482416591524</v>
      </c>
      <c r="P9" s="83"/>
      <c r="Q9" s="84"/>
      <c r="R9" s="83"/>
      <c r="S9" s="84"/>
      <c r="T9" s="85"/>
      <c r="U9" s="84"/>
      <c r="V9" s="83"/>
      <c r="W9" s="84"/>
      <c r="X9" s="55">
        <v>2221</v>
      </c>
      <c r="Y9" s="59">
        <f t="shared" si="6"/>
        <v>100.13525698827773</v>
      </c>
      <c r="Z9" s="55">
        <v>729</v>
      </c>
      <c r="AA9" s="59">
        <f t="shared" si="7"/>
        <v>32.86744815148783</v>
      </c>
      <c r="AB9" s="55">
        <v>588</v>
      </c>
      <c r="AC9" s="59">
        <f t="shared" si="8"/>
        <v>26.510369702434627</v>
      </c>
    </row>
    <row r="10" spans="2:29" ht="12.75">
      <c r="B10" s="238"/>
      <c r="C10" s="55" t="s">
        <v>66</v>
      </c>
      <c r="D10" s="56" t="s">
        <v>69</v>
      </c>
      <c r="E10" s="57">
        <v>300</v>
      </c>
      <c r="F10" s="57">
        <v>1</v>
      </c>
      <c r="G10" s="58" t="s">
        <v>70</v>
      </c>
      <c r="H10" s="55">
        <v>2498</v>
      </c>
      <c r="I10" s="58">
        <v>100</v>
      </c>
      <c r="J10" s="2">
        <v>772</v>
      </c>
      <c r="K10" s="5">
        <f t="shared" si="0"/>
        <v>30.904723779023218</v>
      </c>
      <c r="L10" s="2">
        <v>371</v>
      </c>
      <c r="M10" s="5">
        <f>L10*I10/H10</f>
        <v>14.851881505204164</v>
      </c>
      <c r="N10" s="2">
        <v>690</v>
      </c>
      <c r="O10" s="5">
        <f t="shared" si="1"/>
        <v>27.622097678142513</v>
      </c>
      <c r="P10" s="86"/>
      <c r="Q10" s="87"/>
      <c r="R10" s="86"/>
      <c r="S10" s="87"/>
      <c r="T10" s="88"/>
      <c r="U10" s="87"/>
      <c r="V10" s="86"/>
      <c r="W10" s="87"/>
      <c r="X10" s="55">
        <v>2511</v>
      </c>
      <c r="Y10" s="59">
        <f t="shared" si="6"/>
        <v>100.52041633306645</v>
      </c>
      <c r="Z10" s="55">
        <v>791</v>
      </c>
      <c r="AA10" s="59">
        <f t="shared" si="7"/>
        <v>31.66533226581265</v>
      </c>
      <c r="AB10" s="55">
        <v>638</v>
      </c>
      <c r="AC10" s="59">
        <f t="shared" si="8"/>
        <v>25.540432345876702</v>
      </c>
    </row>
    <row r="11" spans="2:29" ht="13.5" thickBot="1">
      <c r="B11" s="239"/>
      <c r="C11" s="137" t="s">
        <v>53</v>
      </c>
      <c r="D11" s="138" t="s">
        <v>71</v>
      </c>
      <c r="E11" s="139">
        <v>600</v>
      </c>
      <c r="F11" s="139">
        <v>1</v>
      </c>
      <c r="G11" s="140" t="s">
        <v>72</v>
      </c>
      <c r="H11" s="137">
        <v>1758</v>
      </c>
      <c r="I11" s="140">
        <v>100</v>
      </c>
      <c r="J11" s="141">
        <v>350</v>
      </c>
      <c r="K11" s="142">
        <f t="shared" si="0"/>
        <v>19.908987485779296</v>
      </c>
      <c r="L11" s="141">
        <v>158</v>
      </c>
      <c r="M11" s="142">
        <f>L11*I11/H11</f>
        <v>8.987485779294653</v>
      </c>
      <c r="N11" s="141">
        <v>317</v>
      </c>
      <c r="O11" s="142">
        <f t="shared" si="1"/>
        <v>18.031854379977247</v>
      </c>
      <c r="P11" s="86"/>
      <c r="Q11" s="87"/>
      <c r="R11" s="86"/>
      <c r="S11" s="87"/>
      <c r="T11" s="88"/>
      <c r="U11" s="87"/>
      <c r="V11" s="86"/>
      <c r="W11" s="87"/>
      <c r="X11" s="137">
        <v>1770</v>
      </c>
      <c r="Y11" s="143">
        <f t="shared" si="6"/>
        <v>100.68259385665529</v>
      </c>
      <c r="Z11" s="137">
        <v>374</v>
      </c>
      <c r="AA11" s="143">
        <f t="shared" si="7"/>
        <v>21.274175199089875</v>
      </c>
      <c r="AB11" s="137">
        <v>297</v>
      </c>
      <c r="AC11" s="143">
        <f t="shared" si="8"/>
        <v>16.89419795221843</v>
      </c>
    </row>
    <row r="12" spans="2:29" s="1" customFormat="1" ht="15" thickBot="1" thickTop="1">
      <c r="B12" s="146" t="s">
        <v>92</v>
      </c>
      <c r="C12" s="157"/>
      <c r="D12" s="158"/>
      <c r="E12" s="117"/>
      <c r="F12" s="117"/>
      <c r="G12" s="169"/>
      <c r="H12" s="147"/>
      <c r="I12" s="134">
        <v>1</v>
      </c>
      <c r="J12" s="147"/>
      <c r="K12" s="148">
        <f>AVERAGE(K3:K11)</f>
        <v>62.38824400206344</v>
      </c>
      <c r="L12" s="147"/>
      <c r="M12" s="148">
        <f>AVERAGE(M9:M11)</f>
        <v>13.371763846861795</v>
      </c>
      <c r="N12" s="149"/>
      <c r="O12" s="148">
        <f>AVERAGE(O3:O11)</f>
        <v>55.443780529097694</v>
      </c>
      <c r="P12" s="149"/>
      <c r="Q12" s="148">
        <f>AVERAGE(Q3:Q8)</f>
        <v>44.23202513766679</v>
      </c>
      <c r="R12" s="147"/>
      <c r="S12" s="148">
        <f>AVERAGE(S3:S8)</f>
        <v>42.60698578508195</v>
      </c>
      <c r="T12" s="149"/>
      <c r="U12" s="148">
        <f>AVERAGE(U3:U8)</f>
        <v>7.141073787873331</v>
      </c>
      <c r="V12" s="147"/>
      <c r="W12" s="148">
        <f>AVERAGE(W3:W8)</f>
        <v>50.974822585225525</v>
      </c>
      <c r="X12" s="147"/>
      <c r="Y12" s="148">
        <f>AVERAGE(Y3:Y11)</f>
        <v>99.86456029459828</v>
      </c>
      <c r="Z12" s="147"/>
      <c r="AA12" s="148">
        <f>AVERAGE(AA3:AA11)</f>
        <v>49.05845401851456</v>
      </c>
      <c r="AB12" s="147"/>
      <c r="AC12" s="148">
        <f>AVERAGE(AC3:AC11)</f>
        <v>45.900728197555644</v>
      </c>
    </row>
    <row r="13" spans="2:29" s="1" customFormat="1" ht="13.5" thickTop="1">
      <c r="B13" s="144" t="s">
        <v>93</v>
      </c>
      <c r="C13" s="129"/>
      <c r="D13" s="159"/>
      <c r="E13" s="160"/>
      <c r="F13" s="160"/>
      <c r="G13" s="133"/>
      <c r="H13" s="166"/>
      <c r="I13" s="145">
        <v>1</v>
      </c>
      <c r="J13" s="166"/>
      <c r="K13" s="44">
        <f>AVERAGE(K3:K4)</f>
        <v>79.71931954468191</v>
      </c>
      <c r="L13" s="166"/>
      <c r="M13" s="145"/>
      <c r="N13" s="166"/>
      <c r="O13" s="44">
        <f>AVERAGE(O3:O4)</f>
        <v>76.17649637106389</v>
      </c>
      <c r="P13" s="166"/>
      <c r="Q13" s="44">
        <f>AVERAGE(Q3:Q4)</f>
        <v>30.96119531204525</v>
      </c>
      <c r="R13" s="166"/>
      <c r="S13" s="44">
        <f>AVERAGE(S3:S4)</f>
        <v>24.037117196185008</v>
      </c>
      <c r="T13" s="166"/>
      <c r="U13" s="44">
        <f>AVERAGE(U3:U4)</f>
        <v>2.7619933868364637</v>
      </c>
      <c r="V13" s="166"/>
      <c r="W13" s="44">
        <f>AVERAGE(W3:W4)</f>
        <v>45.79137951397846</v>
      </c>
      <c r="X13" s="166"/>
      <c r="Y13" s="44">
        <f>AVERAGE(Y3:Y4)</f>
        <v>98.6862728289784</v>
      </c>
      <c r="Z13" s="166"/>
      <c r="AA13" s="44">
        <f>AVERAGE(AA3:AA4)</f>
        <v>18.88343772102167</v>
      </c>
      <c r="AB13" s="166"/>
      <c r="AC13" s="44">
        <f>AVERAGE(AC3:AC4)</f>
        <v>49.45415950314289</v>
      </c>
    </row>
    <row r="14" spans="2:29" s="1" customFormat="1" ht="12.75">
      <c r="B14" s="89" t="s">
        <v>94</v>
      </c>
      <c r="C14" s="86"/>
      <c r="D14" s="161"/>
      <c r="E14" s="162"/>
      <c r="F14" s="162"/>
      <c r="G14" s="163"/>
      <c r="H14" s="167"/>
      <c r="I14" s="53">
        <v>1</v>
      </c>
      <c r="J14" s="167"/>
      <c r="K14" s="54">
        <f>AVERAGE(K5:K8)</f>
        <v>79.74012778219671</v>
      </c>
      <c r="L14" s="167"/>
      <c r="M14" s="53"/>
      <c r="N14" s="167"/>
      <c r="O14" s="54">
        <f>AVERAGE(O5:O8)</f>
        <v>68.03306394892911</v>
      </c>
      <c r="P14" s="167"/>
      <c r="Q14" s="54">
        <f>AVERAGE(Q5:Q8)</f>
        <v>50.86744005047755</v>
      </c>
      <c r="R14" s="167"/>
      <c r="S14" s="54">
        <f>AVERAGE(S5:S8)</f>
        <v>51.89192007953043</v>
      </c>
      <c r="T14" s="167"/>
      <c r="U14" s="54">
        <f>AVERAGE(U5:U8)</f>
        <v>9.330613988391764</v>
      </c>
      <c r="V14" s="167"/>
      <c r="W14" s="54">
        <f>AVERAGE(W5:W8)</f>
        <v>53.56654412084905</v>
      </c>
      <c r="X14" s="167"/>
      <c r="Y14" s="54">
        <f>AVERAGE(Y5:Y8)</f>
        <v>100.01755745385702</v>
      </c>
      <c r="Z14" s="167"/>
      <c r="AA14" s="54">
        <f>AVERAGE(AA5:AA8)</f>
        <v>79.48806377704933</v>
      </c>
      <c r="AB14" s="167"/>
      <c r="AC14" s="54">
        <f>AVERAGE(AC5:AC8)</f>
        <v>61.31330869279632</v>
      </c>
    </row>
    <row r="15" spans="2:29" ht="13.5" thickBot="1">
      <c r="B15" s="90" t="s">
        <v>95</v>
      </c>
      <c r="C15" s="130"/>
      <c r="D15" s="164"/>
      <c r="E15" s="131"/>
      <c r="F15" s="131"/>
      <c r="G15" s="165"/>
      <c r="H15" s="168"/>
      <c r="I15" s="61">
        <v>1</v>
      </c>
      <c r="J15" s="168"/>
      <c r="K15" s="62">
        <f>AVERAGE(K9:K11)</f>
        <v>27.69834860014006</v>
      </c>
      <c r="L15" s="168"/>
      <c r="M15" s="62">
        <f>AVERAGE(M9:M11)</f>
        <v>13.371763846861795</v>
      </c>
      <c r="N15" s="168"/>
      <c r="O15" s="62">
        <f>AVERAGE(O9:O11)</f>
        <v>24.836258741345002</v>
      </c>
      <c r="P15" s="168"/>
      <c r="Q15" s="61"/>
      <c r="R15" s="168"/>
      <c r="S15" s="61"/>
      <c r="T15" s="168"/>
      <c r="U15" s="61"/>
      <c r="V15" s="168"/>
      <c r="W15" s="61"/>
      <c r="X15" s="168"/>
      <c r="Y15" s="62">
        <f>AVERAGE(Y9:Y11)</f>
        <v>100.44608905933315</v>
      </c>
      <c r="Z15" s="168"/>
      <c r="AA15" s="63">
        <f>AVERAGE(AA9:AA11)</f>
        <v>28.602318538796784</v>
      </c>
      <c r="AB15" s="168"/>
      <c r="AC15" s="62">
        <f>AVERAGE(AC9:AC11)</f>
        <v>22.981666666843253</v>
      </c>
    </row>
    <row r="16" spans="2:29" ht="57.75" thickBot="1" thickTop="1">
      <c r="B16" s="124" t="s">
        <v>180</v>
      </c>
      <c r="C16" s="91"/>
      <c r="D16" s="92"/>
      <c r="E16" s="92"/>
      <c r="F16" s="92"/>
      <c r="G16" s="92"/>
      <c r="H16" s="135"/>
      <c r="I16" s="125" t="s">
        <v>126</v>
      </c>
      <c r="J16" s="135"/>
      <c r="K16" s="125" t="s">
        <v>96</v>
      </c>
      <c r="L16" s="135"/>
      <c r="M16" s="125" t="s">
        <v>73</v>
      </c>
      <c r="N16" s="135"/>
      <c r="O16" s="125" t="s">
        <v>125</v>
      </c>
      <c r="P16" s="135"/>
      <c r="Q16" s="125" t="s">
        <v>97</v>
      </c>
      <c r="R16" s="135"/>
      <c r="S16" s="125" t="s">
        <v>98</v>
      </c>
      <c r="T16" s="135"/>
      <c r="U16" s="125" t="s">
        <v>99</v>
      </c>
      <c r="V16" s="135"/>
      <c r="W16" s="125" t="s">
        <v>100</v>
      </c>
      <c r="X16" s="135"/>
      <c r="Y16" s="125" t="s">
        <v>74</v>
      </c>
      <c r="Z16" s="135"/>
      <c r="AA16" s="125" t="s">
        <v>127</v>
      </c>
      <c r="AB16" s="92"/>
      <c r="AC16" s="125" t="s">
        <v>128</v>
      </c>
    </row>
    <row r="17" ht="13.5" thickTop="1"/>
    <row r="19" spans="9:17" ht="12.75">
      <c r="I19" s="1"/>
      <c r="J19" s="1"/>
      <c r="K19" s="1"/>
      <c r="L19" s="1"/>
      <c r="M19" s="1"/>
      <c r="N19" s="1"/>
      <c r="O19" s="1"/>
      <c r="P19" s="1"/>
      <c r="Q19" s="1"/>
    </row>
    <row r="20" spans="11:15" ht="12.75">
      <c r="K20" s="64"/>
      <c r="O20" s="64"/>
    </row>
    <row r="23" spans="7:23" ht="12.75">
      <c r="G23" s="1"/>
      <c r="H23" s="1"/>
      <c r="I23" s="1"/>
      <c r="J23" s="1"/>
      <c r="K23" s="1"/>
      <c r="L23" s="1"/>
      <c r="M23" s="1"/>
      <c r="N23" s="1"/>
      <c r="O23" s="1"/>
      <c r="P23" s="1"/>
      <c r="Q23" s="1"/>
      <c r="R23" s="1"/>
      <c r="S23" s="1"/>
      <c r="T23" s="1"/>
      <c r="U23" s="1"/>
      <c r="V23" s="1"/>
      <c r="W23" s="1"/>
    </row>
    <row r="24" spans="7:23" ht="12.75">
      <c r="G24" s="1"/>
      <c r="H24" s="1"/>
      <c r="I24" s="1"/>
      <c r="J24" s="1"/>
      <c r="K24" s="1"/>
      <c r="L24" s="1"/>
      <c r="M24" s="1"/>
      <c r="N24" s="1"/>
      <c r="O24" s="1"/>
      <c r="P24" s="1"/>
      <c r="Q24" s="1"/>
      <c r="R24" s="1"/>
      <c r="S24" s="1"/>
      <c r="T24" s="1"/>
      <c r="U24" s="1"/>
      <c r="V24" s="1"/>
      <c r="W24" s="1"/>
    </row>
    <row r="25" spans="7:23" ht="12.75">
      <c r="G25" s="1"/>
      <c r="H25" s="1"/>
      <c r="I25" s="1"/>
      <c r="J25" s="1"/>
      <c r="K25" s="1"/>
      <c r="L25" s="1"/>
      <c r="M25" s="1"/>
      <c r="N25" s="1"/>
      <c r="O25" s="1"/>
      <c r="P25" s="1"/>
      <c r="Q25" s="1"/>
      <c r="R25" s="1"/>
      <c r="S25" s="1"/>
      <c r="T25" s="1"/>
      <c r="U25" s="1"/>
      <c r="V25" s="1"/>
      <c r="W25" s="1"/>
    </row>
    <row r="26" spans="7:23" ht="12.75">
      <c r="G26" s="1"/>
      <c r="H26" s="65"/>
      <c r="I26" s="66"/>
      <c r="J26" s="66"/>
      <c r="K26" s="66"/>
      <c r="L26" s="66"/>
      <c r="M26" s="66"/>
      <c r="N26" s="66"/>
      <c r="O26" s="66"/>
      <c r="P26" s="66"/>
      <c r="Q26" s="66"/>
      <c r="R26" s="1"/>
      <c r="S26" s="1"/>
      <c r="T26" s="1"/>
      <c r="U26" s="1"/>
      <c r="V26" s="1"/>
      <c r="W26" s="1"/>
    </row>
    <row r="27" spans="7:23" ht="12.75">
      <c r="G27" s="1"/>
      <c r="H27" s="65"/>
      <c r="I27" s="66"/>
      <c r="J27" s="66"/>
      <c r="K27" s="66"/>
      <c r="L27" s="66"/>
      <c r="M27" s="66"/>
      <c r="N27" s="66"/>
      <c r="O27" s="66"/>
      <c r="P27" s="66"/>
      <c r="Q27" s="66"/>
      <c r="R27" s="1"/>
      <c r="S27" s="1"/>
      <c r="T27" s="1"/>
      <c r="U27" s="1"/>
      <c r="V27" s="1"/>
      <c r="W27" s="1"/>
    </row>
    <row r="28" spans="7:23" ht="12.75">
      <c r="G28" s="1"/>
      <c r="H28" s="1"/>
      <c r="I28" s="1"/>
      <c r="J28" s="1"/>
      <c r="K28" s="1"/>
      <c r="L28" s="1"/>
      <c r="M28" s="1"/>
      <c r="N28" s="1"/>
      <c r="O28" s="1"/>
      <c r="P28" s="1"/>
      <c r="Q28" s="1"/>
      <c r="R28" s="1"/>
      <c r="S28" s="1"/>
      <c r="T28" s="1"/>
      <c r="U28" s="1"/>
      <c r="V28" s="1"/>
      <c r="W28" s="1"/>
    </row>
    <row r="29" spans="7:23" ht="12.75">
      <c r="G29" s="1"/>
      <c r="H29" s="65"/>
      <c r="I29" s="66"/>
      <c r="J29" s="66"/>
      <c r="K29" s="66"/>
      <c r="L29" s="66"/>
      <c r="M29" s="66"/>
      <c r="N29" s="66"/>
      <c r="O29" s="66"/>
      <c r="P29" s="66"/>
      <c r="Q29" s="66"/>
      <c r="R29" s="1"/>
      <c r="S29" s="1"/>
      <c r="T29" s="1"/>
      <c r="U29" s="1"/>
      <c r="V29" s="1"/>
      <c r="W29" s="1"/>
    </row>
    <row r="30" spans="7:23" ht="12.75">
      <c r="G30" s="1"/>
      <c r="H30" s="65"/>
      <c r="I30" s="66"/>
      <c r="J30" s="66"/>
      <c r="K30" s="66"/>
      <c r="L30" s="66"/>
      <c r="M30" s="66"/>
      <c r="N30" s="66"/>
      <c r="O30" s="66"/>
      <c r="P30" s="66"/>
      <c r="Q30" s="66"/>
      <c r="R30" s="1"/>
      <c r="S30" s="1"/>
      <c r="T30" s="1"/>
      <c r="U30" s="1"/>
      <c r="V30" s="1"/>
      <c r="W30" s="1"/>
    </row>
    <row r="31" spans="7:23" ht="12.75">
      <c r="G31" s="1"/>
      <c r="H31" s="65"/>
      <c r="I31" s="66"/>
      <c r="J31" s="66"/>
      <c r="K31" s="66"/>
      <c r="L31" s="66"/>
      <c r="M31" s="66"/>
      <c r="N31" s="66"/>
      <c r="O31" s="66"/>
      <c r="P31" s="66"/>
      <c r="Q31" s="66"/>
      <c r="R31" s="1"/>
      <c r="S31" s="1"/>
      <c r="T31" s="1"/>
      <c r="U31" s="1"/>
      <c r="V31" s="1"/>
      <c r="W31" s="1"/>
    </row>
    <row r="32" spans="7:23" ht="12.75">
      <c r="G32" s="1"/>
      <c r="H32" s="1"/>
      <c r="I32" s="1"/>
      <c r="J32" s="1"/>
      <c r="K32" s="1"/>
      <c r="L32" s="1"/>
      <c r="M32" s="1"/>
      <c r="N32" s="1"/>
      <c r="O32" s="1"/>
      <c r="P32" s="1"/>
      <c r="Q32" s="1"/>
      <c r="R32" s="1"/>
      <c r="S32" s="1"/>
      <c r="T32" s="1"/>
      <c r="U32" s="1"/>
      <c r="V32" s="1"/>
      <c r="W32" s="1"/>
    </row>
  </sheetData>
  <sheetProtection sheet="1" selectLockedCells="1"/>
  <mergeCells count="1">
    <mergeCell ref="B2:B11"/>
  </mergeCells>
  <printOptions/>
  <pageMargins left="0" right="0" top="0" bottom="0" header="0" footer="0"/>
  <pageSetup fitToHeight="3" fitToWidth="2" horizontalDpi="300" verticalDpi="300" orientation="landscape" paperSize="8" scale="62"/>
  <colBreaks count="1" manualBreakCount="1">
    <brk id="15"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B2:J39"/>
  <sheetViews>
    <sheetView zoomScalePageLayoutView="0" workbookViewId="0" topLeftCell="A1">
      <selection activeCell="D35" sqref="D35"/>
    </sheetView>
  </sheetViews>
  <sheetFormatPr defaultColWidth="11.57421875" defaultRowHeight="12.75"/>
  <cols>
    <col min="1" max="1" width="2.421875" style="0" customWidth="1"/>
    <col min="2" max="2" width="44.28125" style="0" bestFit="1" customWidth="1"/>
    <col min="3" max="3" width="20.8515625" style="0" customWidth="1"/>
    <col min="4" max="4" width="18.140625" style="0" bestFit="1" customWidth="1"/>
    <col min="5" max="5" width="65.421875" style="0" customWidth="1"/>
    <col min="6" max="6" width="43.140625" style="0" customWidth="1"/>
    <col min="7" max="7" width="52.7109375" style="0" bestFit="1" customWidth="1"/>
    <col min="8" max="8" width="89.8515625" style="0" bestFit="1" customWidth="1"/>
    <col min="9" max="9" width="48.00390625" style="0" bestFit="1" customWidth="1"/>
    <col min="10" max="10" width="52.8515625" style="0" bestFit="1" customWidth="1"/>
    <col min="11" max="16384" width="11.421875" style="0" customWidth="1"/>
  </cols>
  <sheetData>
    <row r="1" ht="13.5" thickBot="1"/>
    <row r="2" spans="2:10" ht="15" thickBot="1" thickTop="1">
      <c r="B2" s="240" t="s">
        <v>181</v>
      </c>
      <c r="C2" s="93" t="s">
        <v>24</v>
      </c>
      <c r="D2" s="94" t="s">
        <v>25</v>
      </c>
      <c r="E2" s="95" t="s">
        <v>101</v>
      </c>
      <c r="F2" s="96" t="s">
        <v>102</v>
      </c>
      <c r="G2" s="97" t="s">
        <v>103</v>
      </c>
      <c r="H2" s="98" t="s">
        <v>104</v>
      </c>
      <c r="I2" s="99" t="s">
        <v>105</v>
      </c>
      <c r="J2" s="100" t="s">
        <v>106</v>
      </c>
    </row>
    <row r="3" spans="2:10" ht="13.5" thickTop="1">
      <c r="B3" s="241"/>
      <c r="C3" s="101" t="s">
        <v>61</v>
      </c>
      <c r="D3" s="102" t="s">
        <v>107</v>
      </c>
      <c r="E3" s="101">
        <v>12945</v>
      </c>
      <c r="F3" s="102">
        <v>16</v>
      </c>
      <c r="G3" s="101">
        <v>3384</v>
      </c>
      <c r="H3" s="103">
        <f aca="true" t="shared" si="0" ref="H3:H16">100*G3/F3</f>
        <v>21150</v>
      </c>
      <c r="I3" s="104">
        <v>79</v>
      </c>
      <c r="J3" s="103">
        <f aca="true" t="shared" si="1" ref="J3:J16">100*I3/F3</f>
        <v>493.75</v>
      </c>
    </row>
    <row r="4" spans="2:10" ht="12.75">
      <c r="B4" s="241"/>
      <c r="C4" s="55" t="s">
        <v>61</v>
      </c>
      <c r="D4" s="105" t="s">
        <v>108</v>
      </c>
      <c r="E4" s="55">
        <v>18184</v>
      </c>
      <c r="F4" s="105">
        <v>22</v>
      </c>
      <c r="G4" s="55">
        <v>4712</v>
      </c>
      <c r="H4" s="106">
        <f t="shared" si="0"/>
        <v>21418.18181818182</v>
      </c>
      <c r="I4" s="107">
        <v>75</v>
      </c>
      <c r="J4" s="106">
        <f t="shared" si="1"/>
        <v>340.90909090909093</v>
      </c>
    </row>
    <row r="5" spans="2:10" ht="12.75">
      <c r="B5" s="241"/>
      <c r="C5" s="55" t="s">
        <v>109</v>
      </c>
      <c r="D5" s="105" t="s">
        <v>110</v>
      </c>
      <c r="E5" s="55">
        <v>2241</v>
      </c>
      <c r="F5" s="105">
        <v>3</v>
      </c>
      <c r="G5" s="55">
        <v>510</v>
      </c>
      <c r="H5" s="106">
        <f t="shared" si="0"/>
        <v>17000</v>
      </c>
      <c r="I5" s="107">
        <v>12</v>
      </c>
      <c r="J5" s="106">
        <f t="shared" si="1"/>
        <v>400</v>
      </c>
    </row>
    <row r="6" spans="2:10" ht="12.75">
      <c r="B6" s="241"/>
      <c r="C6" s="55" t="s">
        <v>109</v>
      </c>
      <c r="D6" s="105" t="s">
        <v>111</v>
      </c>
      <c r="E6" s="55">
        <v>3426</v>
      </c>
      <c r="F6" s="105">
        <v>4</v>
      </c>
      <c r="G6" s="55">
        <v>887</v>
      </c>
      <c r="H6" s="106">
        <f t="shared" si="0"/>
        <v>22175</v>
      </c>
      <c r="I6" s="107">
        <v>16</v>
      </c>
      <c r="J6" s="106">
        <f t="shared" si="1"/>
        <v>400</v>
      </c>
    </row>
    <row r="7" spans="2:10" ht="12.75">
      <c r="B7" s="241"/>
      <c r="C7" s="55" t="s">
        <v>109</v>
      </c>
      <c r="D7" s="105" t="s">
        <v>112</v>
      </c>
      <c r="E7" s="55">
        <v>4156</v>
      </c>
      <c r="F7" s="105">
        <v>5</v>
      </c>
      <c r="G7" s="55">
        <v>1077</v>
      </c>
      <c r="H7" s="106">
        <f t="shared" si="0"/>
        <v>21540</v>
      </c>
      <c r="I7" s="107">
        <v>27</v>
      </c>
      <c r="J7" s="106">
        <f t="shared" si="1"/>
        <v>540</v>
      </c>
    </row>
    <row r="8" spans="2:10" ht="12.75">
      <c r="B8" s="241"/>
      <c r="C8" s="55" t="s">
        <v>109</v>
      </c>
      <c r="D8" s="105" t="s">
        <v>113</v>
      </c>
      <c r="E8" s="55">
        <v>4312</v>
      </c>
      <c r="F8" s="105">
        <v>5</v>
      </c>
      <c r="G8" s="55">
        <v>1105</v>
      </c>
      <c r="H8" s="106">
        <f t="shared" si="0"/>
        <v>22100</v>
      </c>
      <c r="I8" s="107">
        <v>20</v>
      </c>
      <c r="J8" s="106">
        <f t="shared" si="1"/>
        <v>400</v>
      </c>
    </row>
    <row r="9" spans="2:10" ht="12.75">
      <c r="B9" s="241"/>
      <c r="C9" s="55" t="s">
        <v>109</v>
      </c>
      <c r="D9" s="105" t="s">
        <v>114</v>
      </c>
      <c r="E9" s="55">
        <v>2679</v>
      </c>
      <c r="F9" s="105">
        <v>4</v>
      </c>
      <c r="G9" s="55">
        <v>690</v>
      </c>
      <c r="H9" s="106">
        <f t="shared" si="0"/>
        <v>17250</v>
      </c>
      <c r="I9" s="107">
        <v>11</v>
      </c>
      <c r="J9" s="106">
        <f t="shared" si="1"/>
        <v>275</v>
      </c>
    </row>
    <row r="10" spans="2:10" ht="12.75">
      <c r="B10" s="241"/>
      <c r="C10" s="55" t="s">
        <v>109</v>
      </c>
      <c r="D10" s="105" t="s">
        <v>115</v>
      </c>
      <c r="E10" s="55">
        <v>2529</v>
      </c>
      <c r="F10" s="105">
        <v>4</v>
      </c>
      <c r="G10" s="55">
        <v>667</v>
      </c>
      <c r="H10" s="106">
        <f t="shared" si="0"/>
        <v>16675</v>
      </c>
      <c r="I10" s="107">
        <v>23</v>
      </c>
      <c r="J10" s="106">
        <f t="shared" si="1"/>
        <v>575</v>
      </c>
    </row>
    <row r="11" spans="2:10" ht="12.75">
      <c r="B11" s="241"/>
      <c r="C11" s="55" t="s">
        <v>109</v>
      </c>
      <c r="D11" s="105" t="s">
        <v>116</v>
      </c>
      <c r="E11" s="55">
        <v>3119</v>
      </c>
      <c r="F11" s="105">
        <v>4</v>
      </c>
      <c r="G11" s="55">
        <v>801</v>
      </c>
      <c r="H11" s="106">
        <f t="shared" si="0"/>
        <v>20025</v>
      </c>
      <c r="I11" s="107">
        <v>13</v>
      </c>
      <c r="J11" s="106">
        <f t="shared" si="1"/>
        <v>325</v>
      </c>
    </row>
    <row r="12" spans="2:10" ht="12.75">
      <c r="B12" s="241"/>
      <c r="C12" s="55" t="s">
        <v>109</v>
      </c>
      <c r="D12" s="105" t="s">
        <v>117</v>
      </c>
      <c r="E12" s="55">
        <v>3371</v>
      </c>
      <c r="F12" s="105">
        <v>5</v>
      </c>
      <c r="G12" s="55">
        <v>906</v>
      </c>
      <c r="H12" s="106">
        <f t="shared" si="0"/>
        <v>18120</v>
      </c>
      <c r="I12" s="107">
        <v>32</v>
      </c>
      <c r="J12" s="106">
        <f t="shared" si="1"/>
        <v>640</v>
      </c>
    </row>
    <row r="13" spans="2:10" ht="12.75">
      <c r="B13" s="241"/>
      <c r="C13" s="55" t="s">
        <v>109</v>
      </c>
      <c r="D13" s="105" t="s">
        <v>118</v>
      </c>
      <c r="E13" s="2">
        <v>2276</v>
      </c>
      <c r="F13" s="108">
        <v>3</v>
      </c>
      <c r="G13" s="55">
        <v>588</v>
      </c>
      <c r="H13" s="106">
        <f t="shared" si="0"/>
        <v>19600</v>
      </c>
      <c r="I13" s="107">
        <v>13</v>
      </c>
      <c r="J13" s="106">
        <f t="shared" si="1"/>
        <v>433.3333333333333</v>
      </c>
    </row>
    <row r="14" spans="2:10" ht="12.75">
      <c r="B14" s="241"/>
      <c r="C14" s="55" t="s">
        <v>109</v>
      </c>
      <c r="D14" s="105" t="s">
        <v>119</v>
      </c>
      <c r="E14" s="2">
        <v>2097</v>
      </c>
      <c r="F14" s="108">
        <v>3</v>
      </c>
      <c r="G14" s="55">
        <v>541</v>
      </c>
      <c r="H14" s="106">
        <f t="shared" si="0"/>
        <v>18033.333333333332</v>
      </c>
      <c r="I14" s="107">
        <v>10</v>
      </c>
      <c r="J14" s="106">
        <f t="shared" si="1"/>
        <v>333.3333333333333</v>
      </c>
    </row>
    <row r="15" spans="2:10" ht="12.75">
      <c r="B15" s="241"/>
      <c r="C15" s="55" t="s">
        <v>58</v>
      </c>
      <c r="D15" s="105" t="s">
        <v>120</v>
      </c>
      <c r="E15" s="2">
        <v>7273</v>
      </c>
      <c r="F15" s="108">
        <v>9</v>
      </c>
      <c r="G15" s="55">
        <v>1870</v>
      </c>
      <c r="H15" s="106">
        <f t="shared" si="0"/>
        <v>20777.777777777777</v>
      </c>
      <c r="I15" s="107">
        <v>35</v>
      </c>
      <c r="J15" s="106">
        <f t="shared" si="1"/>
        <v>388.8888888888889</v>
      </c>
    </row>
    <row r="16" spans="2:10" ht="13.5" thickBot="1">
      <c r="B16" s="242"/>
      <c r="C16" s="60" t="s">
        <v>58</v>
      </c>
      <c r="D16" s="109" t="s">
        <v>121</v>
      </c>
      <c r="E16" s="110">
        <v>9452</v>
      </c>
      <c r="F16" s="111">
        <v>11</v>
      </c>
      <c r="G16" s="60">
        <v>2420</v>
      </c>
      <c r="H16" s="112">
        <f t="shared" si="0"/>
        <v>22000</v>
      </c>
      <c r="I16" s="113">
        <v>41</v>
      </c>
      <c r="J16" s="114">
        <f t="shared" si="1"/>
        <v>372.72727272727275</v>
      </c>
    </row>
    <row r="17" spans="2:10" ht="15" thickBot="1" thickTop="1">
      <c r="B17" s="115" t="s">
        <v>122</v>
      </c>
      <c r="C17" s="129"/>
      <c r="D17" s="133"/>
      <c r="E17" s="132">
        <f aca="true" t="shared" si="2" ref="E17:J17">AVERAGE(E3:E16)</f>
        <v>5575.714285714285</v>
      </c>
      <c r="F17" s="134">
        <f t="shared" si="2"/>
        <v>7</v>
      </c>
      <c r="G17" s="132">
        <f t="shared" si="2"/>
        <v>1439.857142857143</v>
      </c>
      <c r="H17" s="116">
        <f t="shared" si="2"/>
        <v>19847.449494949495</v>
      </c>
      <c r="I17" s="132">
        <f t="shared" si="2"/>
        <v>29.071428571428573</v>
      </c>
      <c r="J17" s="116">
        <f t="shared" si="2"/>
        <v>422.71013708513703</v>
      </c>
    </row>
    <row r="18" spans="2:10" ht="15" thickBot="1" thickTop="1">
      <c r="B18" s="122" t="s">
        <v>179</v>
      </c>
      <c r="C18" s="130"/>
      <c r="D18" s="131"/>
      <c r="E18" s="126" t="s">
        <v>123</v>
      </c>
      <c r="F18" s="127">
        <f>AVERAGE(E3:E16)/AVERAGE(F3:F16)</f>
        <v>796.530612244898</v>
      </c>
      <c r="G18" s="126" t="s">
        <v>124</v>
      </c>
      <c r="H18" s="123">
        <f>AVERAGE(H3:H16)/100</f>
        <v>198.47449494949495</v>
      </c>
      <c r="I18" s="126" t="s">
        <v>124</v>
      </c>
      <c r="J18" s="123">
        <f>AVERAGE(J3:J16)/100</f>
        <v>4.22710137085137</v>
      </c>
    </row>
    <row r="19" spans="8:10" ht="13.5" thickTop="1">
      <c r="H19" s="118"/>
      <c r="J19" s="118"/>
    </row>
    <row r="20" ht="12.75">
      <c r="E20" s="1"/>
    </row>
    <row r="23" ht="12.75">
      <c r="E23" s="119"/>
    </row>
    <row r="26" spans="5:7" ht="12.75">
      <c r="E26" s="1"/>
      <c r="G26" s="1"/>
    </row>
    <row r="27" spans="5:7" ht="12.75">
      <c r="E27" s="120"/>
      <c r="G27" s="1"/>
    </row>
    <row r="29" ht="12.75">
      <c r="E29" s="1"/>
    </row>
    <row r="30" ht="12.75">
      <c r="E30" s="121"/>
    </row>
    <row r="33" ht="12.75">
      <c r="E33" s="1"/>
    </row>
    <row r="34" ht="12.75">
      <c r="E34" s="121"/>
    </row>
    <row r="35" spans="5:6" ht="12.75">
      <c r="E35" s="1"/>
      <c r="F35" s="1"/>
    </row>
    <row r="36" spans="5:6" ht="12.75">
      <c r="E36" s="1"/>
      <c r="F36" s="1"/>
    </row>
    <row r="37" spans="5:6" ht="12.75">
      <c r="E37" s="1"/>
      <c r="F37" s="1"/>
    </row>
    <row r="38" spans="5:6" ht="12.75">
      <c r="E38" s="1"/>
      <c r="F38" s="1"/>
    </row>
    <row r="39" spans="5:6" ht="12.75">
      <c r="E39" s="1"/>
      <c r="F39" s="1"/>
    </row>
  </sheetData>
  <sheetProtection sheet="1" objects="1" scenarios="1" selectLockedCells="1"/>
  <mergeCells count="1">
    <mergeCell ref="B2:B16"/>
  </mergeCells>
  <printOptions/>
  <pageMargins left="0" right="0" top="0" bottom="0" header="0" footer="0"/>
  <pageSetup fitToHeight="1" fitToWidth="1" horizontalDpi="300" verticalDpi="300" orientation="landscape" paperSize="8" scale="47"/>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IMPACT Storage Estimator, Version 3</dc:title>
  <dc:subject/>
  <dc:creator>bochow</dc:creator>
  <cp:keywords/>
  <dc:description/>
  <cp:lastModifiedBy>Používateľ balíka Microsoft Office</cp:lastModifiedBy>
  <cp:lastPrinted>2011-02-18T16:35:51Z</cp:lastPrinted>
  <dcterms:created xsi:type="dcterms:W3CDTF">2008-08-25T15:56:15Z</dcterms:created>
  <dcterms:modified xsi:type="dcterms:W3CDTF">2019-09-28T13:01:40Z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