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Work\finance v podnikání\sem 10\"/>
    </mc:Choice>
  </mc:AlternateContent>
  <xr:revisionPtr revIDLastSave="0" documentId="13_ncr:1_{B3F3E7EB-DED5-47E7-9EBA-4A190731AF97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Název firmy a základní údaje" sheetId="2" r:id="rId1"/>
    <sheet name="Rozvaha" sheetId="1" r:id="rId2"/>
    <sheet name="Výkaz zisku a ztráty" sheetId="3" r:id="rId3"/>
    <sheet name="Poměrová analýza" sheetId="4" r:id="rId4"/>
    <sheet name="List1" sheetId="6" r:id="rId5"/>
    <sheet name="Oborové hodnoty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J28" i="4"/>
  <c r="I29" i="4"/>
  <c r="J29" i="4"/>
  <c r="I30" i="4"/>
  <c r="J30" i="4"/>
  <c r="I31" i="4"/>
  <c r="J31" i="4"/>
  <c r="I32" i="4"/>
  <c r="J32" i="4"/>
  <c r="I33" i="4"/>
  <c r="J33" i="4"/>
  <c r="I18" i="4"/>
  <c r="I19" i="4" s="1"/>
  <c r="J18" i="4"/>
  <c r="J19" i="4"/>
  <c r="I20" i="4"/>
  <c r="I21" i="4" s="1"/>
  <c r="I25" i="4" s="1"/>
  <c r="J20" i="4"/>
  <c r="J21" i="4" s="1"/>
  <c r="J25" i="4" s="1"/>
  <c r="I23" i="4"/>
  <c r="J23" i="4"/>
  <c r="I24" i="4"/>
  <c r="J24" i="4"/>
  <c r="I10" i="4"/>
  <c r="J10" i="4"/>
  <c r="I11" i="4"/>
  <c r="J11" i="4"/>
  <c r="I12" i="4"/>
  <c r="J12" i="4"/>
  <c r="I13" i="4"/>
  <c r="J13" i="4"/>
  <c r="I14" i="4"/>
  <c r="J14" i="4"/>
  <c r="I15" i="4"/>
  <c r="J15" i="4"/>
  <c r="I4" i="4"/>
  <c r="J4" i="4"/>
  <c r="I5" i="4"/>
  <c r="J5" i="4"/>
  <c r="I6" i="4"/>
  <c r="J6" i="4"/>
  <c r="I7" i="4"/>
  <c r="J7" i="4"/>
  <c r="Z21" i="3"/>
  <c r="Z23" i="3"/>
  <c r="AA27" i="3"/>
  <c r="Z27" i="3"/>
  <c r="AA42" i="3"/>
  <c r="Z42" i="3"/>
  <c r="Z3" i="3"/>
  <c r="AA3" i="3"/>
  <c r="Z4" i="3"/>
  <c r="AA4" i="3"/>
  <c r="Z5" i="3"/>
  <c r="AA5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20" i="3"/>
  <c r="AA20" i="3"/>
  <c r="AA21" i="3"/>
  <c r="Z22" i="3"/>
  <c r="AA22" i="3"/>
  <c r="AA23" i="3"/>
  <c r="Z25" i="3"/>
  <c r="AA25" i="3"/>
  <c r="Z26" i="3"/>
  <c r="AA26" i="3"/>
  <c r="Z29" i="3"/>
  <c r="AA29" i="3"/>
  <c r="Z30" i="3"/>
  <c r="AA30" i="3"/>
  <c r="Z31" i="3"/>
  <c r="AA31" i="3"/>
  <c r="Z32" i="3"/>
  <c r="AA32" i="3"/>
  <c r="Z41" i="3"/>
  <c r="AA41" i="3"/>
  <c r="Z43" i="3"/>
  <c r="AA43" i="3"/>
  <c r="Z45" i="3"/>
  <c r="AA45" i="3"/>
  <c r="Z47" i="3"/>
  <c r="AA47" i="3"/>
  <c r="Z48" i="3"/>
  <c r="AA48" i="3"/>
  <c r="Z49" i="3"/>
  <c r="AA49" i="3"/>
  <c r="Z50" i="3"/>
  <c r="AA50" i="3"/>
  <c r="Z51" i="3"/>
  <c r="AA51" i="3"/>
  <c r="Z52" i="3"/>
  <c r="AA52" i="3"/>
  <c r="Z53" i="3"/>
  <c r="AA53" i="3"/>
  <c r="Z54" i="3"/>
  <c r="AA54" i="3"/>
  <c r="Z55" i="3"/>
  <c r="AA55" i="3"/>
  <c r="Z57" i="3"/>
  <c r="AA57" i="3"/>
  <c r="Z58" i="3"/>
  <c r="AA58" i="3"/>
  <c r="R62" i="3"/>
  <c r="S62" i="3"/>
  <c r="R61" i="3"/>
  <c r="S61" i="3"/>
  <c r="R60" i="3"/>
  <c r="S60" i="3"/>
  <c r="AO21" i="1"/>
  <c r="AP21" i="1"/>
  <c r="AO22" i="1"/>
  <c r="AP22" i="1"/>
  <c r="AO23" i="1"/>
  <c r="AP23" i="1"/>
  <c r="AO24" i="1"/>
  <c r="AP24" i="1"/>
  <c r="AO25" i="1"/>
  <c r="AP25" i="1"/>
  <c r="AO26" i="1"/>
  <c r="AP26" i="1"/>
  <c r="AO27" i="1"/>
  <c r="AP27" i="1"/>
  <c r="AO28" i="1"/>
  <c r="AP28" i="1"/>
  <c r="AO29" i="1"/>
  <c r="AP29" i="1"/>
  <c r="AO30" i="1"/>
  <c r="AP30" i="1"/>
  <c r="AO31" i="1"/>
  <c r="AP31" i="1"/>
  <c r="AO32" i="1"/>
  <c r="AP32" i="1"/>
  <c r="AO33" i="1"/>
  <c r="AP33" i="1"/>
  <c r="AO34" i="1"/>
  <c r="AP34" i="1"/>
  <c r="AO35" i="1"/>
  <c r="AP35" i="1"/>
  <c r="AO36" i="1"/>
  <c r="AP36" i="1"/>
  <c r="AO37" i="1"/>
  <c r="AP37" i="1"/>
  <c r="AO38" i="1"/>
  <c r="AP38" i="1"/>
  <c r="AO39" i="1"/>
  <c r="AP39" i="1"/>
  <c r="AO40" i="1"/>
  <c r="AP40" i="1"/>
  <c r="AO41" i="1"/>
  <c r="AP41" i="1"/>
  <c r="AF21" i="1"/>
  <c r="AG21" i="1"/>
  <c r="AF22" i="1"/>
  <c r="AG22" i="1"/>
  <c r="AF23" i="1"/>
  <c r="AG23" i="1"/>
  <c r="AF25" i="1"/>
  <c r="AG25" i="1"/>
  <c r="AF26" i="1"/>
  <c r="AG26" i="1"/>
  <c r="AF27" i="1"/>
  <c r="AG27" i="1"/>
  <c r="AF29" i="1"/>
  <c r="AG29" i="1"/>
  <c r="AF30" i="1"/>
  <c r="AG30" i="1"/>
  <c r="AF31" i="1"/>
  <c r="AG31" i="1"/>
  <c r="AF32" i="1"/>
  <c r="AG32" i="1"/>
  <c r="AF34" i="1"/>
  <c r="AG34" i="1"/>
  <c r="AF35" i="1"/>
  <c r="AG35" i="1"/>
  <c r="AF36" i="1"/>
  <c r="AG36" i="1"/>
  <c r="AF37" i="1"/>
  <c r="AG37" i="1"/>
  <c r="AF38" i="1"/>
  <c r="AG38" i="1"/>
  <c r="AF39" i="1"/>
  <c r="AG39" i="1"/>
  <c r="AF40" i="1"/>
  <c r="AG40" i="1"/>
  <c r="AE41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AO4" i="1"/>
  <c r="AP4" i="1"/>
  <c r="AO5" i="1"/>
  <c r="AP5" i="1"/>
  <c r="AO6" i="1"/>
  <c r="AP6" i="1"/>
  <c r="AO7" i="1"/>
  <c r="AP7" i="1"/>
  <c r="AO8" i="1"/>
  <c r="AP8" i="1"/>
  <c r="AO9" i="1"/>
  <c r="AP9" i="1"/>
  <c r="AO10" i="1"/>
  <c r="AP10" i="1"/>
  <c r="AO11" i="1"/>
  <c r="AP11" i="1"/>
  <c r="AO12" i="1"/>
  <c r="AP12" i="1"/>
  <c r="AO13" i="1"/>
  <c r="AP13" i="1"/>
  <c r="AO14" i="1"/>
  <c r="AP14" i="1"/>
  <c r="AO15" i="1"/>
  <c r="AP15" i="1"/>
  <c r="AO16" i="1"/>
  <c r="AP16" i="1"/>
  <c r="AG12" i="1"/>
  <c r="AF4" i="1"/>
  <c r="AG4" i="1"/>
  <c r="AF6" i="1"/>
  <c r="AG6" i="1"/>
  <c r="AF7" i="1"/>
  <c r="AG7" i="1"/>
  <c r="AF8" i="1"/>
  <c r="AG8" i="1"/>
  <c r="AF9" i="1"/>
  <c r="AG9" i="1"/>
  <c r="AF10" i="1"/>
  <c r="AG10" i="1"/>
  <c r="AF11" i="1"/>
  <c r="AG11" i="1"/>
  <c r="AF13" i="1"/>
  <c r="AG13" i="1"/>
  <c r="AF15" i="1"/>
  <c r="AG15" i="1"/>
  <c r="AF16" i="1"/>
  <c r="AG16" i="1"/>
  <c r="AE4" i="1"/>
  <c r="X4" i="1"/>
  <c r="Y4" i="1"/>
  <c r="X5" i="1"/>
  <c r="Y5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B25" i="4"/>
  <c r="C22" i="4"/>
  <c r="D22" i="4"/>
  <c r="E22" i="4"/>
  <c r="F22" i="4"/>
  <c r="G22" i="4"/>
  <c r="H22" i="4"/>
  <c r="B22" i="4"/>
  <c r="P38" i="1"/>
  <c r="P35" i="1"/>
  <c r="AH5" i="1"/>
  <c r="Z4" i="1"/>
  <c r="R4" i="1"/>
  <c r="J22" i="4" l="1"/>
  <c r="I22" i="4"/>
  <c r="Y3" i="3"/>
  <c r="Y4" i="3"/>
  <c r="Y6" i="3"/>
  <c r="Y7" i="3"/>
  <c r="Y8" i="3"/>
  <c r="Y9" i="3"/>
  <c r="Y10" i="3"/>
  <c r="Y12" i="3"/>
  <c r="Y14" i="3"/>
  <c r="Y15" i="3"/>
  <c r="Y18" i="3"/>
  <c r="Y20" i="3"/>
  <c r="Y21" i="3"/>
  <c r="Y23" i="3"/>
  <c r="Y24" i="3"/>
  <c r="Y25" i="3"/>
  <c r="Y28" i="3"/>
  <c r="Y29" i="3"/>
  <c r="Y30" i="3"/>
  <c r="Y31" i="3"/>
  <c r="Y43" i="3"/>
  <c r="Y47" i="3"/>
  <c r="Y48" i="3"/>
  <c r="Y49" i="3"/>
  <c r="Y53" i="3"/>
  <c r="Y54" i="3"/>
  <c r="AN41" i="1"/>
  <c r="AN40" i="1"/>
  <c r="AN39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H28" i="4" l="1"/>
  <c r="H29" i="4"/>
  <c r="H30" i="4" s="1"/>
  <c r="H31" i="4"/>
  <c r="H32" i="4"/>
  <c r="H33" i="4"/>
  <c r="H18" i="4"/>
  <c r="H19" i="4" s="1"/>
  <c r="H20" i="4"/>
  <c r="H21" i="4" s="1"/>
  <c r="H23" i="4"/>
  <c r="H24" i="4" s="1"/>
  <c r="H10" i="4"/>
  <c r="H11" i="4"/>
  <c r="H12" i="4"/>
  <c r="H13" i="4"/>
  <c r="H14" i="4" s="1"/>
  <c r="H15" i="4"/>
  <c r="H4" i="4"/>
  <c r="H5" i="4"/>
  <c r="H6" i="4"/>
  <c r="H7" i="4"/>
  <c r="Q60" i="3"/>
  <c r="Q61" i="3"/>
  <c r="Q62" i="3" s="1"/>
  <c r="W23" i="1"/>
  <c r="W24" i="1"/>
  <c r="W25" i="1"/>
  <c r="W26" i="1"/>
  <c r="W27" i="1"/>
  <c r="W28" i="1"/>
  <c r="W30" i="1"/>
  <c r="W32" i="1"/>
  <c r="W33" i="1"/>
  <c r="W34" i="1"/>
  <c r="W36" i="1"/>
  <c r="W37" i="1"/>
  <c r="W39" i="1"/>
  <c r="W40" i="1"/>
  <c r="W41" i="1"/>
  <c r="W4" i="1"/>
  <c r="W5" i="1"/>
  <c r="W6" i="1"/>
  <c r="W7" i="1"/>
  <c r="W8" i="1"/>
  <c r="W9" i="1"/>
  <c r="W10" i="1"/>
  <c r="W12" i="1"/>
  <c r="W13" i="1"/>
  <c r="W14" i="1"/>
  <c r="W15" i="1"/>
  <c r="W16" i="1"/>
  <c r="AE23" i="1"/>
  <c r="AE25" i="1"/>
  <c r="AE26" i="1"/>
  <c r="AE27" i="1"/>
  <c r="AE30" i="1"/>
  <c r="AE32" i="1"/>
  <c r="AE34" i="1"/>
  <c r="AE36" i="1"/>
  <c r="AE37" i="1"/>
  <c r="AE39" i="1"/>
  <c r="AE40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E6" i="1"/>
  <c r="AE7" i="1"/>
  <c r="AE8" i="1"/>
  <c r="AE9" i="1"/>
  <c r="AE10" i="1"/>
  <c r="AE13" i="1"/>
  <c r="AE15" i="1"/>
  <c r="AE16" i="1"/>
  <c r="O38" i="1"/>
  <c r="AN38" i="1" s="1"/>
  <c r="H25" i="4" l="1"/>
  <c r="T4" i="3"/>
  <c r="U4" i="3"/>
  <c r="V4" i="3"/>
  <c r="W4" i="3"/>
  <c r="X4" i="3"/>
  <c r="T6" i="3"/>
  <c r="U6" i="3"/>
  <c r="V6" i="3"/>
  <c r="W6" i="3"/>
  <c r="X6" i="3"/>
  <c r="T7" i="3"/>
  <c r="U7" i="3"/>
  <c r="V7" i="3"/>
  <c r="W7" i="3"/>
  <c r="X7" i="3"/>
  <c r="T8" i="3"/>
  <c r="U8" i="3"/>
  <c r="V8" i="3"/>
  <c r="W8" i="3"/>
  <c r="X8" i="3"/>
  <c r="T9" i="3"/>
  <c r="U9" i="3"/>
  <c r="V9" i="3"/>
  <c r="W9" i="3"/>
  <c r="X9" i="3"/>
  <c r="T10" i="3"/>
  <c r="U10" i="3"/>
  <c r="V10" i="3"/>
  <c r="W10" i="3"/>
  <c r="X10" i="3"/>
  <c r="T12" i="3"/>
  <c r="U12" i="3"/>
  <c r="V12" i="3"/>
  <c r="W12" i="3"/>
  <c r="X12" i="3"/>
  <c r="T14" i="3"/>
  <c r="U14" i="3"/>
  <c r="V14" i="3"/>
  <c r="W14" i="3"/>
  <c r="X14" i="3"/>
  <c r="T15" i="3"/>
  <c r="U15" i="3"/>
  <c r="V15" i="3"/>
  <c r="W15" i="3"/>
  <c r="X15" i="3"/>
  <c r="T18" i="3"/>
  <c r="U18" i="3"/>
  <c r="V18" i="3"/>
  <c r="W18" i="3"/>
  <c r="X18" i="3"/>
  <c r="W19" i="3"/>
  <c r="U20" i="3"/>
  <c r="V20" i="3"/>
  <c r="W20" i="3"/>
  <c r="X20" i="3"/>
  <c r="U21" i="3"/>
  <c r="V21" i="3"/>
  <c r="W21" i="3"/>
  <c r="X21" i="3"/>
  <c r="T23" i="3"/>
  <c r="U23" i="3"/>
  <c r="V23" i="3"/>
  <c r="W23" i="3"/>
  <c r="X23" i="3"/>
  <c r="T24" i="3"/>
  <c r="U24" i="3"/>
  <c r="V24" i="3"/>
  <c r="W24" i="3"/>
  <c r="X24" i="3"/>
  <c r="T25" i="3"/>
  <c r="U25" i="3"/>
  <c r="V25" i="3"/>
  <c r="W25" i="3"/>
  <c r="X25" i="3"/>
  <c r="T27" i="3"/>
  <c r="U27" i="3"/>
  <c r="V27" i="3"/>
  <c r="W27" i="3"/>
  <c r="T28" i="3"/>
  <c r="U28" i="3"/>
  <c r="V28" i="3"/>
  <c r="W28" i="3"/>
  <c r="X28" i="3"/>
  <c r="T29" i="3"/>
  <c r="U29" i="3"/>
  <c r="V29" i="3"/>
  <c r="W29" i="3"/>
  <c r="X29" i="3"/>
  <c r="T30" i="3"/>
  <c r="U30" i="3"/>
  <c r="V30" i="3"/>
  <c r="W30" i="3"/>
  <c r="X30" i="3"/>
  <c r="T31" i="3"/>
  <c r="U31" i="3"/>
  <c r="V31" i="3"/>
  <c r="W31" i="3"/>
  <c r="X31" i="3"/>
  <c r="V34" i="3"/>
  <c r="V36" i="3"/>
  <c r="V43" i="3"/>
  <c r="W43" i="3"/>
  <c r="X43" i="3"/>
  <c r="T47" i="3"/>
  <c r="U47" i="3"/>
  <c r="V47" i="3"/>
  <c r="W47" i="3"/>
  <c r="X47" i="3"/>
  <c r="T48" i="3"/>
  <c r="U48" i="3"/>
  <c r="V48" i="3"/>
  <c r="W48" i="3"/>
  <c r="X48" i="3"/>
  <c r="T49" i="3"/>
  <c r="U49" i="3"/>
  <c r="V49" i="3"/>
  <c r="W49" i="3"/>
  <c r="X49" i="3"/>
  <c r="T53" i="3"/>
  <c r="U53" i="3"/>
  <c r="V53" i="3"/>
  <c r="W53" i="3"/>
  <c r="X53" i="3"/>
  <c r="T54" i="3"/>
  <c r="U54" i="3"/>
  <c r="V54" i="3"/>
  <c r="W54" i="3"/>
  <c r="X54" i="3"/>
  <c r="U3" i="3"/>
  <c r="V3" i="3"/>
  <c r="W3" i="3"/>
  <c r="X3" i="3"/>
  <c r="T3" i="3"/>
  <c r="R23" i="1"/>
  <c r="S23" i="1"/>
  <c r="T23" i="1"/>
  <c r="U23" i="1"/>
  <c r="V23" i="1"/>
  <c r="Z23" i="1"/>
  <c r="AA23" i="1"/>
  <c r="AB23" i="1"/>
  <c r="AC23" i="1"/>
  <c r="AD23" i="1"/>
  <c r="AH23" i="1"/>
  <c r="AI23" i="1"/>
  <c r="AJ23" i="1"/>
  <c r="AK23" i="1"/>
  <c r="AL23" i="1"/>
  <c r="AM23" i="1"/>
  <c r="R24" i="1"/>
  <c r="S24" i="1"/>
  <c r="T24" i="1"/>
  <c r="U24" i="1"/>
  <c r="V24" i="1"/>
  <c r="Z24" i="1"/>
  <c r="AA24" i="1"/>
  <c r="AH24" i="1"/>
  <c r="AI24" i="1"/>
  <c r="AJ24" i="1"/>
  <c r="AK24" i="1"/>
  <c r="AL24" i="1"/>
  <c r="AM24" i="1"/>
  <c r="R25" i="1"/>
  <c r="S25" i="1"/>
  <c r="T25" i="1"/>
  <c r="U25" i="1"/>
  <c r="V25" i="1"/>
  <c r="Z25" i="1"/>
  <c r="AA25" i="1"/>
  <c r="AB25" i="1"/>
  <c r="AC25" i="1"/>
  <c r="AD25" i="1"/>
  <c r="AH25" i="1"/>
  <c r="AI25" i="1"/>
  <c r="AJ25" i="1"/>
  <c r="AK25" i="1"/>
  <c r="AL25" i="1"/>
  <c r="AM25" i="1"/>
  <c r="R26" i="1"/>
  <c r="S26" i="1"/>
  <c r="T26" i="1"/>
  <c r="U26" i="1"/>
  <c r="V26" i="1"/>
  <c r="Z26" i="1"/>
  <c r="AA26" i="1"/>
  <c r="AB26" i="1"/>
  <c r="AC26" i="1"/>
  <c r="AD26" i="1"/>
  <c r="AH26" i="1"/>
  <c r="AI26" i="1"/>
  <c r="AJ26" i="1"/>
  <c r="AK26" i="1"/>
  <c r="AL26" i="1"/>
  <c r="AM26" i="1"/>
  <c r="R27" i="1"/>
  <c r="S27" i="1"/>
  <c r="T27" i="1"/>
  <c r="U27" i="1"/>
  <c r="V27" i="1"/>
  <c r="Z27" i="1"/>
  <c r="AA27" i="1"/>
  <c r="AB27" i="1"/>
  <c r="AC27" i="1"/>
  <c r="AD27" i="1"/>
  <c r="AH27" i="1"/>
  <c r="AI27" i="1"/>
  <c r="AJ27" i="1"/>
  <c r="AK27" i="1"/>
  <c r="AL27" i="1"/>
  <c r="AM27" i="1"/>
  <c r="R28" i="1"/>
  <c r="S28" i="1"/>
  <c r="T28" i="1"/>
  <c r="U28" i="1"/>
  <c r="V28" i="1"/>
  <c r="AH28" i="1"/>
  <c r="AI28" i="1"/>
  <c r="AJ28" i="1"/>
  <c r="AK28" i="1"/>
  <c r="AL28" i="1"/>
  <c r="AM28" i="1"/>
  <c r="R30" i="1"/>
  <c r="S30" i="1"/>
  <c r="T30" i="1"/>
  <c r="U30" i="1"/>
  <c r="V30" i="1"/>
  <c r="Z30" i="1"/>
  <c r="AB30" i="1"/>
  <c r="AC30" i="1"/>
  <c r="AD30" i="1"/>
  <c r="AH30" i="1"/>
  <c r="AI30" i="1"/>
  <c r="AJ30" i="1"/>
  <c r="AK30" i="1"/>
  <c r="AL30" i="1"/>
  <c r="AM30" i="1"/>
  <c r="V32" i="1"/>
  <c r="AD32" i="1"/>
  <c r="AL32" i="1"/>
  <c r="AM32" i="1"/>
  <c r="R33" i="1"/>
  <c r="S33" i="1"/>
  <c r="T33" i="1"/>
  <c r="U33" i="1"/>
  <c r="V33" i="1"/>
  <c r="AH33" i="1"/>
  <c r="AI33" i="1"/>
  <c r="AJ33" i="1"/>
  <c r="AK33" i="1"/>
  <c r="AL33" i="1"/>
  <c r="AM33" i="1"/>
  <c r="R34" i="1"/>
  <c r="S34" i="1"/>
  <c r="T34" i="1"/>
  <c r="U34" i="1"/>
  <c r="V34" i="1"/>
  <c r="Z34" i="1"/>
  <c r="AA34" i="1"/>
  <c r="AB34" i="1"/>
  <c r="AC34" i="1"/>
  <c r="AD34" i="1"/>
  <c r="AH34" i="1"/>
  <c r="AI34" i="1"/>
  <c r="AJ34" i="1"/>
  <c r="AK34" i="1"/>
  <c r="AL34" i="1"/>
  <c r="AM34" i="1"/>
  <c r="R35" i="1"/>
  <c r="Z35" i="1"/>
  <c r="AH35" i="1"/>
  <c r="AI35" i="1"/>
  <c r="U36" i="1"/>
  <c r="V36" i="1"/>
  <c r="AC36" i="1"/>
  <c r="AD36" i="1"/>
  <c r="AK36" i="1"/>
  <c r="AL36" i="1"/>
  <c r="AM36" i="1"/>
  <c r="R37" i="1"/>
  <c r="S37" i="1"/>
  <c r="T37" i="1"/>
  <c r="U37" i="1"/>
  <c r="V37" i="1"/>
  <c r="Z37" i="1"/>
  <c r="AA37" i="1"/>
  <c r="AB37" i="1"/>
  <c r="AC37" i="1"/>
  <c r="AD37" i="1"/>
  <c r="AH37" i="1"/>
  <c r="AI37" i="1"/>
  <c r="AJ37" i="1"/>
  <c r="AK37" i="1"/>
  <c r="AL37" i="1"/>
  <c r="AM37" i="1"/>
  <c r="R39" i="1"/>
  <c r="S39" i="1"/>
  <c r="T39" i="1"/>
  <c r="U39" i="1"/>
  <c r="V39" i="1"/>
  <c r="Z39" i="1"/>
  <c r="AA39" i="1"/>
  <c r="AB39" i="1"/>
  <c r="AC39" i="1"/>
  <c r="AD39" i="1"/>
  <c r="AH39" i="1"/>
  <c r="AI39" i="1"/>
  <c r="AJ39" i="1"/>
  <c r="AK39" i="1"/>
  <c r="AL39" i="1"/>
  <c r="AM39" i="1"/>
  <c r="R40" i="1"/>
  <c r="S40" i="1"/>
  <c r="T40" i="1"/>
  <c r="U40" i="1"/>
  <c r="V40" i="1"/>
  <c r="Z40" i="1"/>
  <c r="AA40" i="1"/>
  <c r="AB40" i="1"/>
  <c r="AC40" i="1"/>
  <c r="AD40" i="1"/>
  <c r="AH40" i="1"/>
  <c r="AI40" i="1"/>
  <c r="AJ40" i="1"/>
  <c r="AK40" i="1"/>
  <c r="AL40" i="1"/>
  <c r="AM40" i="1"/>
  <c r="R41" i="1"/>
  <c r="S41" i="1"/>
  <c r="T41" i="1"/>
  <c r="U41" i="1"/>
  <c r="V41" i="1"/>
  <c r="Z41" i="1"/>
  <c r="AA41" i="1"/>
  <c r="AB41" i="1"/>
  <c r="AC41" i="1"/>
  <c r="AD41" i="1"/>
  <c r="AH41" i="1"/>
  <c r="AI41" i="1"/>
  <c r="AJ41" i="1"/>
  <c r="AK41" i="1"/>
  <c r="AL41" i="1"/>
  <c r="AM41" i="1"/>
  <c r="E23" i="4"/>
  <c r="E24" i="4" s="1"/>
  <c r="F23" i="4"/>
  <c r="F24" i="4" s="1"/>
  <c r="G23" i="4"/>
  <c r="G24" i="4" s="1"/>
  <c r="C20" i="4"/>
  <c r="C21" i="4" s="1"/>
  <c r="D20" i="4"/>
  <c r="D21" i="4" s="1"/>
  <c r="E20" i="4"/>
  <c r="E21" i="4" s="1"/>
  <c r="F20" i="4"/>
  <c r="F21" i="4" s="1"/>
  <c r="G20" i="4"/>
  <c r="G21" i="4" s="1"/>
  <c r="B20" i="4"/>
  <c r="B21" i="4" s="1"/>
  <c r="C18" i="4"/>
  <c r="C19" i="4" s="1"/>
  <c r="D18" i="4"/>
  <c r="D19" i="4" s="1"/>
  <c r="E18" i="4"/>
  <c r="E19" i="4" s="1"/>
  <c r="F18" i="4"/>
  <c r="F19" i="4" s="1"/>
  <c r="G18" i="4"/>
  <c r="G19" i="4" s="1"/>
  <c r="B18" i="4"/>
  <c r="B19" i="4" s="1"/>
  <c r="C10" i="4"/>
  <c r="D10" i="4"/>
  <c r="E10" i="4"/>
  <c r="F10" i="4"/>
  <c r="G10" i="4"/>
  <c r="B10" i="4"/>
  <c r="E7" i="4"/>
  <c r="F7" i="4"/>
  <c r="G7" i="4"/>
  <c r="E6" i="4"/>
  <c r="F6" i="4"/>
  <c r="G6" i="4"/>
  <c r="E5" i="4"/>
  <c r="F5" i="4"/>
  <c r="G5" i="4"/>
  <c r="E4" i="4"/>
  <c r="F4" i="4"/>
  <c r="G4" i="4"/>
  <c r="AI5" i="1"/>
  <c r="AJ5" i="1"/>
  <c r="AK5" i="1"/>
  <c r="AL5" i="1"/>
  <c r="AM5" i="1"/>
  <c r="AH6" i="1"/>
  <c r="AI6" i="1"/>
  <c r="AJ6" i="1"/>
  <c r="AK6" i="1"/>
  <c r="AL6" i="1"/>
  <c r="AM6" i="1"/>
  <c r="AH7" i="1"/>
  <c r="AI7" i="1"/>
  <c r="AJ7" i="1"/>
  <c r="AK7" i="1"/>
  <c r="AL7" i="1"/>
  <c r="AM7" i="1"/>
  <c r="AH8" i="1"/>
  <c r="AI8" i="1"/>
  <c r="AJ8" i="1"/>
  <c r="AK8" i="1"/>
  <c r="AL8" i="1"/>
  <c r="AM8" i="1"/>
  <c r="AH9" i="1"/>
  <c r="AI9" i="1"/>
  <c r="AJ9" i="1"/>
  <c r="AK9" i="1"/>
  <c r="AL9" i="1"/>
  <c r="AM9" i="1"/>
  <c r="AH10" i="1"/>
  <c r="AI10" i="1"/>
  <c r="AJ10" i="1"/>
  <c r="AK10" i="1"/>
  <c r="AL10" i="1"/>
  <c r="AM10" i="1"/>
  <c r="AH12" i="1"/>
  <c r="AI12" i="1"/>
  <c r="AJ12" i="1"/>
  <c r="AK12" i="1"/>
  <c r="AL12" i="1"/>
  <c r="AM12" i="1"/>
  <c r="AH13" i="1"/>
  <c r="AI13" i="1"/>
  <c r="AJ13" i="1"/>
  <c r="AK13" i="1"/>
  <c r="AL13" i="1"/>
  <c r="AM13" i="1"/>
  <c r="AH14" i="1"/>
  <c r="AI14" i="1"/>
  <c r="AJ14" i="1"/>
  <c r="AK14" i="1"/>
  <c r="AL14" i="1"/>
  <c r="AM14" i="1"/>
  <c r="AH15" i="1"/>
  <c r="AI15" i="1"/>
  <c r="AJ15" i="1"/>
  <c r="AK15" i="1"/>
  <c r="AL15" i="1"/>
  <c r="AM15" i="1"/>
  <c r="AH16" i="1"/>
  <c r="AI16" i="1"/>
  <c r="AJ16" i="1"/>
  <c r="AK16" i="1"/>
  <c r="AL16" i="1"/>
  <c r="AM16" i="1"/>
  <c r="AI4" i="1"/>
  <c r="AJ4" i="1"/>
  <c r="AK4" i="1"/>
  <c r="AL4" i="1"/>
  <c r="AM4" i="1"/>
  <c r="AH4" i="1"/>
  <c r="Z6" i="1"/>
  <c r="AA6" i="1"/>
  <c r="AB6" i="1"/>
  <c r="AC6" i="1"/>
  <c r="AD6" i="1"/>
  <c r="Z7" i="1"/>
  <c r="AB7" i="1"/>
  <c r="AC7" i="1"/>
  <c r="AD7" i="1"/>
  <c r="Z8" i="1"/>
  <c r="AA8" i="1"/>
  <c r="AB8" i="1"/>
  <c r="AC8" i="1"/>
  <c r="AD8" i="1"/>
  <c r="Z9" i="1"/>
  <c r="AA9" i="1"/>
  <c r="AB9" i="1"/>
  <c r="AC9" i="1"/>
  <c r="AD9" i="1"/>
  <c r="Z10" i="1"/>
  <c r="AA10" i="1"/>
  <c r="AB10" i="1"/>
  <c r="AC10" i="1"/>
  <c r="AD10" i="1"/>
  <c r="AC12" i="1"/>
  <c r="AD12" i="1"/>
  <c r="Z13" i="1"/>
  <c r="AA13" i="1"/>
  <c r="AB13" i="1"/>
  <c r="AC13" i="1"/>
  <c r="AD13" i="1"/>
  <c r="Z15" i="1"/>
  <c r="AA15" i="1"/>
  <c r="AB15" i="1"/>
  <c r="AC15" i="1"/>
  <c r="AD15" i="1"/>
  <c r="Z16" i="1"/>
  <c r="AA16" i="1"/>
  <c r="AB16" i="1"/>
  <c r="AC16" i="1"/>
  <c r="AD16" i="1"/>
  <c r="AA4" i="1"/>
  <c r="AB4" i="1"/>
  <c r="AC4" i="1"/>
  <c r="AD4" i="1"/>
  <c r="R5" i="1"/>
  <c r="S5" i="1"/>
  <c r="T5" i="1"/>
  <c r="U5" i="1"/>
  <c r="V5" i="1"/>
  <c r="R6" i="1"/>
  <c r="S6" i="1"/>
  <c r="T6" i="1"/>
  <c r="U6" i="1"/>
  <c r="V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S4" i="1"/>
  <c r="T4" i="1"/>
  <c r="U4" i="1"/>
  <c r="V4" i="1"/>
  <c r="F25" i="4" l="1"/>
  <c r="G25" i="4"/>
  <c r="E25" i="4"/>
  <c r="K13" i="3"/>
  <c r="K11" i="3" s="1"/>
  <c r="L13" i="3"/>
  <c r="T13" i="3" s="1"/>
  <c r="M13" i="3"/>
  <c r="N13" i="3"/>
  <c r="N5" i="3"/>
  <c r="P37" i="3"/>
  <c r="P41" i="3"/>
  <c r="P45" i="3"/>
  <c r="P52" i="3"/>
  <c r="P33" i="3"/>
  <c r="P26" i="3"/>
  <c r="P22" i="3"/>
  <c r="P17" i="3"/>
  <c r="P13" i="3"/>
  <c r="P11" i="3" s="1"/>
  <c r="O13" i="3"/>
  <c r="P5" i="3"/>
  <c r="O52" i="3"/>
  <c r="N52" i="3"/>
  <c r="M52" i="3"/>
  <c r="L52" i="3"/>
  <c r="K52" i="3"/>
  <c r="O45" i="3"/>
  <c r="N45" i="3"/>
  <c r="M45" i="3"/>
  <c r="L45" i="3"/>
  <c r="K45" i="3"/>
  <c r="O41" i="3"/>
  <c r="N41" i="3"/>
  <c r="M41" i="3"/>
  <c r="L41" i="3"/>
  <c r="K41" i="3"/>
  <c r="O37" i="3"/>
  <c r="N37" i="3"/>
  <c r="M37" i="3"/>
  <c r="L37" i="3"/>
  <c r="K37" i="3"/>
  <c r="O33" i="3"/>
  <c r="N33" i="3"/>
  <c r="M33" i="3"/>
  <c r="L33" i="3"/>
  <c r="K33" i="3"/>
  <c r="O26" i="3"/>
  <c r="N26" i="3"/>
  <c r="M26" i="3"/>
  <c r="L26" i="3"/>
  <c r="K26" i="3"/>
  <c r="O22" i="3"/>
  <c r="N22" i="3"/>
  <c r="M22" i="3"/>
  <c r="L22" i="3"/>
  <c r="K22" i="3"/>
  <c r="O17" i="3"/>
  <c r="N17" i="3"/>
  <c r="M17" i="3"/>
  <c r="L17" i="3"/>
  <c r="K17" i="3"/>
  <c r="K16" i="3" s="1"/>
  <c r="L11" i="3"/>
  <c r="T11" i="3" s="1"/>
  <c r="O5" i="3"/>
  <c r="M5" i="3"/>
  <c r="L5" i="3"/>
  <c r="K5" i="3"/>
  <c r="V52" i="3" l="1"/>
  <c r="W52" i="3"/>
  <c r="W26" i="3"/>
  <c r="V33" i="3"/>
  <c r="W5" i="3"/>
  <c r="M16" i="3"/>
  <c r="U17" i="3"/>
  <c r="L60" i="3"/>
  <c r="T22" i="3"/>
  <c r="K61" i="3"/>
  <c r="N16" i="3"/>
  <c r="N32" i="3" s="1"/>
  <c r="V17" i="3"/>
  <c r="M60" i="3"/>
  <c r="U22" i="3"/>
  <c r="T26" i="3"/>
  <c r="T45" i="3"/>
  <c r="Y11" i="3"/>
  <c r="T5" i="3"/>
  <c r="O16" i="3"/>
  <c r="W17" i="3"/>
  <c r="N58" i="3"/>
  <c r="V22" i="3"/>
  <c r="N60" i="3"/>
  <c r="U26" i="3"/>
  <c r="V41" i="3"/>
  <c r="U45" i="3"/>
  <c r="T52" i="3"/>
  <c r="Y5" i="3"/>
  <c r="X5" i="3"/>
  <c r="P16" i="3"/>
  <c r="P61" i="3" s="1"/>
  <c r="Y17" i="3"/>
  <c r="X17" i="3"/>
  <c r="Y52" i="3"/>
  <c r="X52" i="3"/>
  <c r="V5" i="3"/>
  <c r="U5" i="3"/>
  <c r="L16" i="3"/>
  <c r="T16" i="3" s="1"/>
  <c r="T17" i="3"/>
  <c r="K60" i="3"/>
  <c r="O58" i="3"/>
  <c r="W22" i="3"/>
  <c r="O60" i="3"/>
  <c r="V26" i="3"/>
  <c r="W41" i="3"/>
  <c r="V45" i="3"/>
  <c r="U52" i="3"/>
  <c r="O11" i="3"/>
  <c r="X11" i="3" s="1"/>
  <c r="W13" i="3"/>
  <c r="P58" i="3"/>
  <c r="Y22" i="3"/>
  <c r="P60" i="3"/>
  <c r="X22" i="3"/>
  <c r="Y45" i="3"/>
  <c r="X45" i="3"/>
  <c r="N11" i="3"/>
  <c r="V13" i="3"/>
  <c r="W45" i="3"/>
  <c r="Y13" i="3"/>
  <c r="X13" i="3"/>
  <c r="Y26" i="3"/>
  <c r="X26" i="3"/>
  <c r="Y41" i="3"/>
  <c r="X41" i="3"/>
  <c r="M11" i="3"/>
  <c r="U11" i="3" s="1"/>
  <c r="U13" i="3"/>
  <c r="K58" i="3"/>
  <c r="L58" i="3"/>
  <c r="K32" i="3"/>
  <c r="L32" i="3"/>
  <c r="M58" i="3"/>
  <c r="U58" i="3" s="1"/>
  <c r="P50" i="3"/>
  <c r="L50" i="3"/>
  <c r="M50" i="3"/>
  <c r="N50" i="3"/>
  <c r="K50" i="3"/>
  <c r="O50" i="3"/>
  <c r="W50" i="3" s="1"/>
  <c r="W16" i="3" l="1"/>
  <c r="V11" i="3"/>
  <c r="P62" i="3"/>
  <c r="U16" i="3"/>
  <c r="T50" i="3"/>
  <c r="W58" i="3"/>
  <c r="Y50" i="3"/>
  <c r="X50" i="3"/>
  <c r="N61" i="3"/>
  <c r="Y58" i="3"/>
  <c r="X58" i="3"/>
  <c r="C32" i="4"/>
  <c r="C11" i="4"/>
  <c r="T32" i="3"/>
  <c r="V50" i="3"/>
  <c r="M32" i="3"/>
  <c r="V32" i="3" s="1"/>
  <c r="B32" i="4"/>
  <c r="B11" i="4"/>
  <c r="W11" i="3"/>
  <c r="M61" i="3"/>
  <c r="Y16" i="3"/>
  <c r="X16" i="3"/>
  <c r="P32" i="3"/>
  <c r="V58" i="3"/>
  <c r="L61" i="3"/>
  <c r="O61" i="3"/>
  <c r="O62" i="3" s="1"/>
  <c r="U50" i="3"/>
  <c r="E32" i="4"/>
  <c r="E11" i="4"/>
  <c r="T58" i="3"/>
  <c r="V16" i="3"/>
  <c r="O32" i="3"/>
  <c r="L51" i="3"/>
  <c r="N51" i="3"/>
  <c r="K51" i="3"/>
  <c r="K55" i="3" s="1"/>
  <c r="K57" i="3" s="1"/>
  <c r="W32" i="3" l="1"/>
  <c r="F11" i="4"/>
  <c r="F32" i="4"/>
  <c r="Y32" i="3"/>
  <c r="G32" i="4"/>
  <c r="G11" i="4"/>
  <c r="X32" i="3"/>
  <c r="B13" i="4"/>
  <c r="B14" i="4" s="1"/>
  <c r="B15" i="4"/>
  <c r="N55" i="3"/>
  <c r="U32" i="3"/>
  <c r="D32" i="4"/>
  <c r="D11" i="4"/>
  <c r="M51" i="3"/>
  <c r="O51" i="3"/>
  <c r="L55" i="3"/>
  <c r="T51" i="3"/>
  <c r="P51" i="3"/>
  <c r="I32" i="1"/>
  <c r="AH32" i="1" s="1"/>
  <c r="J32" i="1"/>
  <c r="O55" i="3" l="1"/>
  <c r="W51" i="3"/>
  <c r="M55" i="3"/>
  <c r="U51" i="3"/>
  <c r="N57" i="3"/>
  <c r="P55" i="3"/>
  <c r="Y51" i="3"/>
  <c r="X51" i="3"/>
  <c r="V51" i="3"/>
  <c r="Z32" i="1"/>
  <c r="AI32" i="1"/>
  <c r="R32" i="1"/>
  <c r="L57" i="3"/>
  <c r="T55" i="3"/>
  <c r="N31" i="1"/>
  <c r="L32" i="1"/>
  <c r="K36" i="1"/>
  <c r="L38" i="1"/>
  <c r="M38" i="1"/>
  <c r="N38" i="1"/>
  <c r="J36" i="1"/>
  <c r="J31" i="1" s="1"/>
  <c r="J29" i="1" s="1"/>
  <c r="I36" i="1"/>
  <c r="M35" i="1"/>
  <c r="K32" i="1"/>
  <c r="N22" i="1"/>
  <c r="J22" i="1"/>
  <c r="K22" i="1"/>
  <c r="L22" i="1"/>
  <c r="M22" i="1"/>
  <c r="I22" i="1"/>
  <c r="J11" i="1"/>
  <c r="K11" i="1"/>
  <c r="L11" i="1"/>
  <c r="M11" i="1"/>
  <c r="N11" i="1"/>
  <c r="I11" i="1"/>
  <c r="AH11" i="1" s="1"/>
  <c r="AH22" i="1" l="1"/>
  <c r="B12" i="4"/>
  <c r="B33" i="4"/>
  <c r="P57" i="3"/>
  <c r="Y55" i="3"/>
  <c r="X55" i="3"/>
  <c r="M57" i="3"/>
  <c r="U55" i="3"/>
  <c r="T22" i="1"/>
  <c r="E12" i="4"/>
  <c r="AB22" i="1"/>
  <c r="AK22" i="1"/>
  <c r="E33" i="4"/>
  <c r="J38" i="1"/>
  <c r="C23" i="4"/>
  <c r="C24" i="4" s="1"/>
  <c r="C25" i="4" s="1"/>
  <c r="C7" i="4"/>
  <c r="C5" i="4"/>
  <c r="AI36" i="1"/>
  <c r="R36" i="1"/>
  <c r="C6" i="4"/>
  <c r="C4" i="4"/>
  <c r="Z36" i="1"/>
  <c r="C13" i="4"/>
  <c r="C14" i="4" s="1"/>
  <c r="C15" i="4"/>
  <c r="T57" i="3"/>
  <c r="V55" i="3"/>
  <c r="AL11" i="1"/>
  <c r="AC11" i="1"/>
  <c r="U11" i="1"/>
  <c r="C12" i="4"/>
  <c r="AI22" i="1"/>
  <c r="R22" i="1"/>
  <c r="Z22" i="1"/>
  <c r="C33" i="4"/>
  <c r="AL35" i="1"/>
  <c r="AL38" i="1"/>
  <c r="U38" i="1"/>
  <c r="AC38" i="1"/>
  <c r="N29" i="1"/>
  <c r="N21" i="1" s="1"/>
  <c r="G29" i="4" s="1"/>
  <c r="G30" i="4" s="1"/>
  <c r="W31" i="1"/>
  <c r="AE31" i="1"/>
  <c r="AM31" i="1"/>
  <c r="AB11" i="1"/>
  <c r="T11" i="1"/>
  <c r="AK11" i="1"/>
  <c r="AL22" i="1"/>
  <c r="U22" i="1"/>
  <c r="F12" i="4"/>
  <c r="AC22" i="1"/>
  <c r="F33" i="4"/>
  <c r="W22" i="1"/>
  <c r="AE22" i="1"/>
  <c r="AM22" i="1"/>
  <c r="G12" i="4"/>
  <c r="V22" i="1"/>
  <c r="AD22" i="1"/>
  <c r="G33" i="4"/>
  <c r="I38" i="1"/>
  <c r="AH38" i="1" s="1"/>
  <c r="AH36" i="1"/>
  <c r="B23" i="4"/>
  <c r="B24" i="4" s="1"/>
  <c r="B7" i="4"/>
  <c r="B5" i="4"/>
  <c r="B4" i="4"/>
  <c r="B6" i="4"/>
  <c r="AK38" i="1"/>
  <c r="S11" i="1"/>
  <c r="AA11" i="1"/>
  <c r="AJ11" i="1"/>
  <c r="J21" i="1"/>
  <c r="AI31" i="1"/>
  <c r="K38" i="1"/>
  <c r="T38" i="1" s="1"/>
  <c r="T36" i="1"/>
  <c r="AA36" i="1"/>
  <c r="AB36" i="1"/>
  <c r="D23" i="4"/>
  <c r="D24" i="4" s="1"/>
  <c r="D25" i="4" s="1"/>
  <c r="D7" i="4"/>
  <c r="D5" i="4"/>
  <c r="AJ36" i="1"/>
  <c r="S36" i="1"/>
  <c r="D6" i="4"/>
  <c r="D4" i="4"/>
  <c r="AE11" i="1"/>
  <c r="W11" i="1"/>
  <c r="AM11" i="1"/>
  <c r="V11" i="1"/>
  <c r="AD11" i="1"/>
  <c r="AI11" i="1"/>
  <c r="R11" i="1"/>
  <c r="Z11" i="1"/>
  <c r="AA22" i="1"/>
  <c r="AJ22" i="1"/>
  <c r="D12" i="4"/>
  <c r="S22" i="1"/>
  <c r="D33" i="4"/>
  <c r="K35" i="1"/>
  <c r="S32" i="1"/>
  <c r="AA32" i="1"/>
  <c r="AJ32" i="1"/>
  <c r="W38" i="1"/>
  <c r="AE38" i="1"/>
  <c r="AM38" i="1"/>
  <c r="V38" i="1"/>
  <c r="AD38" i="1"/>
  <c r="L31" i="1"/>
  <c r="L29" i="1" s="1"/>
  <c r="AK32" i="1"/>
  <c r="T32" i="1"/>
  <c r="U32" i="1"/>
  <c r="AB32" i="1"/>
  <c r="AC32" i="1"/>
  <c r="E15" i="4"/>
  <c r="E13" i="4"/>
  <c r="E14" i="4" s="1"/>
  <c r="O57" i="3"/>
  <c r="W55" i="3"/>
  <c r="K31" i="1"/>
  <c r="I31" i="1"/>
  <c r="Z31" i="1" s="1"/>
  <c r="N35" i="1"/>
  <c r="L35" i="1"/>
  <c r="M31" i="1"/>
  <c r="V31" i="1" s="1"/>
  <c r="AD31" i="1" l="1"/>
  <c r="T35" i="1"/>
  <c r="AB35" i="1"/>
  <c r="AK35" i="1"/>
  <c r="AI21" i="1"/>
  <c r="U35" i="1"/>
  <c r="AA35" i="1"/>
  <c r="AJ35" i="1"/>
  <c r="S35" i="1"/>
  <c r="AA38" i="1"/>
  <c r="AJ38" i="1"/>
  <c r="S38" i="1"/>
  <c r="C31" i="4"/>
  <c r="C28" i="4"/>
  <c r="AI29" i="1"/>
  <c r="AK31" i="1"/>
  <c r="T31" i="1"/>
  <c r="AB31" i="1"/>
  <c r="W21" i="1"/>
  <c r="AE21" i="1"/>
  <c r="AM21" i="1"/>
  <c r="U57" i="3"/>
  <c r="D13" i="4"/>
  <c r="D14" i="4" s="1"/>
  <c r="D15" i="4"/>
  <c r="W35" i="1"/>
  <c r="AE35" i="1"/>
  <c r="AM35" i="1"/>
  <c r="V35" i="1"/>
  <c r="AD35" i="1"/>
  <c r="V57" i="3"/>
  <c r="I29" i="1"/>
  <c r="R29" i="1" s="1"/>
  <c r="AH31" i="1"/>
  <c r="M29" i="1"/>
  <c r="AD29" i="1" s="1"/>
  <c r="AL31" i="1"/>
  <c r="U31" i="1"/>
  <c r="AC31" i="1"/>
  <c r="K29" i="1"/>
  <c r="S31" i="1"/>
  <c r="AA31" i="1"/>
  <c r="AJ31" i="1"/>
  <c r="F15" i="4"/>
  <c r="W57" i="3"/>
  <c r="F13" i="4"/>
  <c r="F14" i="4" s="1"/>
  <c r="R31" i="1"/>
  <c r="AB38" i="1"/>
  <c r="W29" i="1"/>
  <c r="AE29" i="1"/>
  <c r="G31" i="4"/>
  <c r="G28" i="4"/>
  <c r="AM29" i="1"/>
  <c r="AC35" i="1"/>
  <c r="C29" i="4"/>
  <c r="C30" i="4" s="1"/>
  <c r="AI38" i="1"/>
  <c r="R38" i="1"/>
  <c r="Z38" i="1"/>
  <c r="Y57" i="3"/>
  <c r="G13" i="4"/>
  <c r="G14" i="4" s="1"/>
  <c r="G15" i="4"/>
  <c r="X57" i="3"/>
  <c r="AJ29" i="1" l="1"/>
  <c r="S29" i="1"/>
  <c r="AA29" i="1"/>
  <c r="D31" i="4"/>
  <c r="D28" i="4"/>
  <c r="K21" i="1"/>
  <c r="M21" i="1"/>
  <c r="AC29" i="1"/>
  <c r="F31" i="4"/>
  <c r="F28" i="4"/>
  <c r="AL29" i="1"/>
  <c r="U29" i="1"/>
  <c r="E31" i="4"/>
  <c r="E28" i="4"/>
  <c r="AK29" i="1"/>
  <c r="T29" i="1"/>
  <c r="AB29" i="1"/>
  <c r="L21" i="1"/>
  <c r="V29" i="1"/>
  <c r="I21" i="1"/>
  <c r="AH29" i="1"/>
  <c r="B28" i="4"/>
  <c r="B31" i="4"/>
  <c r="Z29" i="1"/>
  <c r="AK21" i="1" l="1"/>
  <c r="T21" i="1"/>
  <c r="AB21" i="1"/>
  <c r="E29" i="4"/>
  <c r="E30" i="4" s="1"/>
  <c r="AH21" i="1"/>
  <c r="B29" i="4"/>
  <c r="B30" i="4" s="1"/>
  <c r="R21" i="1"/>
  <c r="Z21" i="1"/>
  <c r="AL21" i="1"/>
  <c r="AC21" i="1"/>
  <c r="U21" i="1"/>
  <c r="F29" i="4"/>
  <c r="F30" i="4" s="1"/>
  <c r="V21" i="1"/>
  <c r="AD21" i="1"/>
  <c r="AA21" i="1"/>
  <c r="S21" i="1"/>
  <c r="AJ21" i="1"/>
  <c r="D29" i="4"/>
  <c r="D30" i="4" s="1"/>
</calcChain>
</file>

<file path=xl/sharedStrings.xml><?xml version="1.0" encoding="utf-8"?>
<sst xmlns="http://schemas.openxmlformats.org/spreadsheetml/2006/main" count="406" uniqueCount="277">
  <si>
    <t>Datum zápisu:</t>
  </si>
  <si>
    <t>4. února 2003</t>
  </si>
  <si>
    <t xml:space="preserve">Spisová značka: </t>
  </si>
  <si>
    <t>B 3866 vedená u Krajského soudu v Brně</t>
  </si>
  <si>
    <t xml:space="preserve">Obchodní firma: </t>
  </si>
  <si>
    <t>VINSELEKT MICHLOVSKÝ a.s.</t>
  </si>
  <si>
    <t xml:space="preserve">Sídlo: </t>
  </si>
  <si>
    <t>Rakvice, Luční 858, PSČ 69103</t>
  </si>
  <si>
    <t xml:space="preserve">Identifikační číslo: </t>
  </si>
  <si>
    <t xml:space="preserve">Právní forma: </t>
  </si>
  <si>
    <t>Akciová společnost</t>
  </si>
  <si>
    <t xml:space="preserve">Předmět podnikání: </t>
  </si>
  <si>
    <t>Výroba, obchod a služby neuvedené v přílohách 1 až 3 živnostenského zákona</t>
  </si>
  <si>
    <t>Hostinská činnost</t>
  </si>
  <si>
    <t>A K T I V A</t>
  </si>
  <si>
    <t>skutečný stav ve sledovaném období</t>
  </si>
  <si>
    <t>Horizontální analýza v Kč</t>
  </si>
  <si>
    <t>Horizontální analýza v %</t>
  </si>
  <si>
    <t>vertikální analýza</t>
  </si>
  <si>
    <t>změna 2015</t>
  </si>
  <si>
    <t xml:space="preserve">změna 2016 </t>
  </si>
  <si>
    <t>změna 2017</t>
  </si>
  <si>
    <t>změna 2018</t>
  </si>
  <si>
    <t>změna 2019</t>
  </si>
  <si>
    <t>změna 2020</t>
  </si>
  <si>
    <t>AKTIVA CELKEM</t>
  </si>
  <si>
    <t>1</t>
  </si>
  <si>
    <t>A.</t>
  </si>
  <si>
    <t>Pohledávky za upsaný základní kapitál</t>
  </si>
  <si>
    <t>2</t>
  </si>
  <si>
    <t>B.</t>
  </si>
  <si>
    <t>Stálá aktiva</t>
  </si>
  <si>
    <t>3</t>
  </si>
  <si>
    <t>I.</t>
  </si>
  <si>
    <t>Dlouhodobý nehmotný majetek</t>
  </si>
  <si>
    <t>4</t>
  </si>
  <si>
    <t>II.</t>
  </si>
  <si>
    <t>Dlouhodobý hmotný majetek</t>
  </si>
  <si>
    <t>14</t>
  </si>
  <si>
    <t>C.</t>
  </si>
  <si>
    <t>Oběžná aktiva</t>
  </si>
  <si>
    <t>37</t>
  </si>
  <si>
    <t>Zásoby</t>
  </si>
  <si>
    <t>38</t>
  </si>
  <si>
    <t xml:space="preserve">Pohledávky </t>
  </si>
  <si>
    <t>46</t>
  </si>
  <si>
    <t>Dlouhodobé pohledávky</t>
  </si>
  <si>
    <t>47</t>
  </si>
  <si>
    <t>Krátkodobé pohledávky</t>
  </si>
  <si>
    <t>57</t>
  </si>
  <si>
    <t>III.</t>
  </si>
  <si>
    <t>Krátkodobý finanční majetek</t>
  </si>
  <si>
    <t>72</t>
  </si>
  <si>
    <t>IV.</t>
  </si>
  <si>
    <t>Peněžní prostředky</t>
  </si>
  <si>
    <t>75</t>
  </si>
  <si>
    <t>D.</t>
  </si>
  <si>
    <t>Časové rozlišení aktiv</t>
  </si>
  <si>
    <t>78</t>
  </si>
  <si>
    <t>P A S I V A</t>
  </si>
  <si>
    <t>PASIVA CELKEM</t>
  </si>
  <si>
    <t>82</t>
  </si>
  <si>
    <t>Vlastní kapitál</t>
  </si>
  <si>
    <t>83</t>
  </si>
  <si>
    <t>Základní kapitál</t>
  </si>
  <si>
    <t>84</t>
  </si>
  <si>
    <t>Ážio a kapitálové fondy</t>
  </si>
  <si>
    <t>88</t>
  </si>
  <si>
    <t>Fondy ze zisku</t>
  </si>
  <si>
    <t>96</t>
  </si>
  <si>
    <t>Výsledek hospodaření minulých let  (+/-)</t>
  </si>
  <si>
    <t>99</t>
  </si>
  <si>
    <t>V.</t>
  </si>
  <si>
    <t xml:space="preserve">Výsledek hospodaření běžného účetního období (+/-) </t>
  </si>
  <si>
    <t>102</t>
  </si>
  <si>
    <t>VI.</t>
  </si>
  <si>
    <t>Rozhodnuto o zálohové výplatě podílu na zisku (-)</t>
  </si>
  <si>
    <t>104</t>
  </si>
  <si>
    <t>B. + C.</t>
  </si>
  <si>
    <t>Cizí zdroje</t>
  </si>
  <si>
    <t>105</t>
  </si>
  <si>
    <t>Rezervy</t>
  </si>
  <si>
    <t>106</t>
  </si>
  <si>
    <t>Závazky</t>
  </si>
  <si>
    <t>111</t>
  </si>
  <si>
    <t>Dlouhodobé závazky</t>
  </si>
  <si>
    <t>112</t>
  </si>
  <si>
    <t>Vydané dluhopisy</t>
  </si>
  <si>
    <t>113</t>
  </si>
  <si>
    <t>Závazky k úvěrovým institucím</t>
  </si>
  <si>
    <t>116</t>
  </si>
  <si>
    <t>22640</t>
  </si>
  <si>
    <t>Závazky – ostatní</t>
  </si>
  <si>
    <t>123</t>
  </si>
  <si>
    <t>Krátkodobé závazky</t>
  </si>
  <si>
    <t>127</t>
  </si>
  <si>
    <t>131</t>
  </si>
  <si>
    <t>44879</t>
  </si>
  <si>
    <t>8</t>
  </si>
  <si>
    <t>Závazky např. z obchod.vztahů, zaměstnancům apod.</t>
  </si>
  <si>
    <t>137</t>
  </si>
  <si>
    <t>Časové rozlišení pasiv</t>
  </si>
  <si>
    <t>148</t>
  </si>
  <si>
    <t>Výdaje příštích období</t>
  </si>
  <si>
    <t>149</t>
  </si>
  <si>
    <t>177</t>
  </si>
  <si>
    <t xml:space="preserve">Výnosy příštích období </t>
  </si>
  <si>
    <t>150</t>
  </si>
  <si>
    <t>29</t>
  </si>
  <si>
    <t>Skutečnost v účetním období</t>
  </si>
  <si>
    <t>Tržby z prodeje vlastních výrobků a služeb</t>
  </si>
  <si>
    <t xml:space="preserve">Tržby za prodej zboží </t>
  </si>
  <si>
    <t>Výkonová spotřeba</t>
  </si>
  <si>
    <t>1.</t>
  </si>
  <si>
    <t>Náklady vynaložené na prodané zboží</t>
  </si>
  <si>
    <t>2.</t>
  </si>
  <si>
    <t>Spotřeba materiálu a energie</t>
  </si>
  <si>
    <t>5</t>
  </si>
  <si>
    <t>3.</t>
  </si>
  <si>
    <t>Služby</t>
  </si>
  <si>
    <t>6</t>
  </si>
  <si>
    <t>Změna stavu zásob vlastní činnosti (+/-)</t>
  </si>
  <si>
    <t>7</t>
  </si>
  <si>
    <t>Aktivace (-)</t>
  </si>
  <si>
    <t>Osobní náklady</t>
  </si>
  <si>
    <t>9</t>
  </si>
  <si>
    <t>Mzdové náklady</t>
  </si>
  <si>
    <t>10</t>
  </si>
  <si>
    <t>Náklady na sociální zabezpečení, zdravotní pojištění a ostatní náklady</t>
  </si>
  <si>
    <t>11</t>
  </si>
  <si>
    <t>Náklady na sociální zabezpečení a zdravotní pojištění</t>
  </si>
  <si>
    <t>12</t>
  </si>
  <si>
    <t>Ostatní náklady</t>
  </si>
  <si>
    <t>13</t>
  </si>
  <si>
    <t>E.</t>
  </si>
  <si>
    <t>Úpravy hodnot v provozní oblasti (ř. 15 + 18 + 19)</t>
  </si>
  <si>
    <t>Úpravy hodnot dlouhodobého nehmotného a hmotného majetku (ř. 16 + 17 )</t>
  </si>
  <si>
    <t>15</t>
  </si>
  <si>
    <t>Úpravy hodnot dlouhodobého nehmotného a hmotného majetku - trvalé</t>
  </si>
  <si>
    <t>16</t>
  </si>
  <si>
    <t>Úpravy hodnot dlouhodobého nehmotného a hmotného majetku - dočasné</t>
  </si>
  <si>
    <t>17</t>
  </si>
  <si>
    <t>Úpravy hodnot zásob</t>
  </si>
  <si>
    <t>18</t>
  </si>
  <si>
    <t>Úpravy hodnot pohledávek</t>
  </si>
  <si>
    <t>19</t>
  </si>
  <si>
    <t xml:space="preserve">Ostatní provozní výnosy (ř. 21 + 22 + 23) </t>
  </si>
  <si>
    <t>20</t>
  </si>
  <si>
    <t xml:space="preserve">Tržby z prodaného dlouhodobého majetku </t>
  </si>
  <si>
    <t>21</t>
  </si>
  <si>
    <t>Tržby z prodaného materiálu</t>
  </si>
  <si>
    <t>22</t>
  </si>
  <si>
    <t>Jiné provozní výnosy</t>
  </si>
  <si>
    <t>23</t>
  </si>
  <si>
    <t>F.</t>
  </si>
  <si>
    <t>Ostatní provozní náklady (ř. 25 až 29)</t>
  </si>
  <si>
    <t>24</t>
  </si>
  <si>
    <t>Zůstatková cena prodaného dlouhodobého majetku</t>
  </si>
  <si>
    <t>25</t>
  </si>
  <si>
    <t>Prodaný materiál</t>
  </si>
  <si>
    <t>26</t>
  </si>
  <si>
    <t>Daně a poplatky</t>
  </si>
  <si>
    <t>27</t>
  </si>
  <si>
    <t>4.</t>
  </si>
  <si>
    <t>Rezervy v provozní oblasti a komplexní náklady příštích období</t>
  </si>
  <si>
    <t>28</t>
  </si>
  <si>
    <t>5.</t>
  </si>
  <si>
    <t>Jiné provozní náklady</t>
  </si>
  <si>
    <t>*</t>
  </si>
  <si>
    <t>Provozní výsledek hospodaření (+/-)</t>
  </si>
  <si>
    <t>30</t>
  </si>
  <si>
    <t>Výnosy z dlouhodobého finančního majetku - podíly (ř. 32 + 33)</t>
  </si>
  <si>
    <t>31</t>
  </si>
  <si>
    <t>Výnosy z podílů - ovládaná nebo ovládající osoba</t>
  </si>
  <si>
    <t>32</t>
  </si>
  <si>
    <t>200</t>
  </si>
  <si>
    <t>Ostatní výnosy z podílů</t>
  </si>
  <si>
    <t>33</t>
  </si>
  <si>
    <t>G.</t>
  </si>
  <si>
    <t>Náklady vynaložené na prodané podíly</t>
  </si>
  <si>
    <t>34</t>
  </si>
  <si>
    <t>Výnosy z ostatního dlouhodobého finančního majetku (ř. 36 + 37)</t>
  </si>
  <si>
    <t>35</t>
  </si>
  <si>
    <t>Výnosy z ostatního dlouhodobého finančního majetku - ovládaná nebo ovládající osoba</t>
  </si>
  <si>
    <t>36</t>
  </si>
  <si>
    <t>0</t>
  </si>
  <si>
    <t>Ostatní výnosy z ostatního dlouhodobého finančního majetku</t>
  </si>
  <si>
    <t>H.</t>
  </si>
  <si>
    <t>Náklady související s ostatním dlouhodobým finančním majetkem</t>
  </si>
  <si>
    <t>Výnosové úroky a podobné výnosy  (ř. 40 + 41)</t>
  </si>
  <si>
    <t>39</t>
  </si>
  <si>
    <t>Výnosové úroky a podobné výnosy - ovládaná nebo ovládající osoba</t>
  </si>
  <si>
    <t>40</t>
  </si>
  <si>
    <t>Ostatní výnosové úroky a podobné výnosy</t>
  </si>
  <si>
    <t>41</t>
  </si>
  <si>
    <t>Úpravy hodnot a rezervy ve finanční oblasti</t>
  </si>
  <si>
    <t>42</t>
  </si>
  <si>
    <t>J.</t>
  </si>
  <si>
    <t>Nákladové úroky a podobné náklady  (ř. 44 + 45)</t>
  </si>
  <si>
    <t>43</t>
  </si>
  <si>
    <t>Nákladové úroky a podobné náklady - ovládaná nebo ovládající osoba</t>
  </si>
  <si>
    <t>44</t>
  </si>
  <si>
    <t>Ostatní nákladové úroky a podobné náklady</t>
  </si>
  <si>
    <t>45</t>
  </si>
  <si>
    <t>VII.</t>
  </si>
  <si>
    <t>Ostatní finanční výnosy</t>
  </si>
  <si>
    <t>K.</t>
  </si>
  <si>
    <t>Ostatní finanční náklady</t>
  </si>
  <si>
    <t>454</t>
  </si>
  <si>
    <t>Finanční výsledek hospodaření ( +/- )</t>
  </si>
  <si>
    <t>48</t>
  </si>
  <si>
    <t>**</t>
  </si>
  <si>
    <t>Výsledek hospodaření  před zdaněním (+/-)  (ř. 30 + 48)</t>
  </si>
  <si>
    <t>49</t>
  </si>
  <si>
    <t>L.</t>
  </si>
  <si>
    <t>Daň z příjmů  (ř. 51 + 52)</t>
  </si>
  <si>
    <t>50</t>
  </si>
  <si>
    <t>Daň z příjmů splatná</t>
  </si>
  <si>
    <t>51</t>
  </si>
  <si>
    <t>Daň z příjmů odložená ( +/- )</t>
  </si>
  <si>
    <t>52</t>
  </si>
  <si>
    <t>Výsledek hospodaření po zdanění  ( +/- ) (ř. 49 - 50)</t>
  </si>
  <si>
    <t>53</t>
  </si>
  <si>
    <t>M.</t>
  </si>
  <si>
    <t>Převod podílu na výsledku hospodaření společníkům (+/-)</t>
  </si>
  <si>
    <t>54</t>
  </si>
  <si>
    <t>***</t>
  </si>
  <si>
    <t>Výsledek hospodaření za účetní období (+/-)  (ř. 53 - 54)</t>
  </si>
  <si>
    <t>55</t>
  </si>
  <si>
    <t>Čistý obrat za účetní období = I. + II. + III. + IV. + V. + VI. + VII</t>
  </si>
  <si>
    <t>56</t>
  </si>
  <si>
    <t>Suma výnosů</t>
  </si>
  <si>
    <t>Suma nákladů</t>
  </si>
  <si>
    <t>Poměrová analýza</t>
  </si>
  <si>
    <t>Ukazatele likvidity</t>
  </si>
  <si>
    <t>Okamžitá likvidita = pohot. peněžní prostředky / krátkodobé cizí zdroje</t>
  </si>
  <si>
    <t>Pohotová likvidita = (OA-zásoby)/krátkodobé cizí zdroje</t>
  </si>
  <si>
    <t>Běžná likvidita = oběžná aktiva/krátkodobé cizí zdroje</t>
  </si>
  <si>
    <t>Pracovní kapitál = oběžná aktiva - krátkodobé cizí zdroje</t>
  </si>
  <si>
    <t>Ukazatele rentability</t>
  </si>
  <si>
    <t>ROI = EAT / celková aktiva    (rentabilita investic)</t>
  </si>
  <si>
    <t>ROA = EBIT / celková aktiva</t>
  </si>
  <si>
    <t>ROE = EAT / vlastní kapitál   (rentabilita vlastního kapitálu)</t>
  </si>
  <si>
    <t>Rentabilita tržeb = EAT / tržby     (ROS)</t>
  </si>
  <si>
    <t>Nákladovost = 1 - (rentabilita tržeb)</t>
  </si>
  <si>
    <t>Rentabilita nákladů = EAT/ náklady (ROC)</t>
  </si>
  <si>
    <t>Ukazatele aktivity</t>
  </si>
  <si>
    <t>Obratovost zásob = tržby / zásoby</t>
  </si>
  <si>
    <t>Obrátka zásob = 365 / obratovost zásob (ve dnech)</t>
  </si>
  <si>
    <t>Obratovost pohledávek = tržby / pohledávky</t>
  </si>
  <si>
    <t>Obrátka pohledávek = 365 / obratovost pohledávek (ve dnech)</t>
  </si>
  <si>
    <t>Obratovost závazků = tržby / závazky</t>
  </si>
  <si>
    <t>Obrátka závazků = 365 / obratovost závazků (ve dnech)</t>
  </si>
  <si>
    <t>Doba dodavatelského úvěru</t>
  </si>
  <si>
    <t>Ukazatele zadluženosti</t>
  </si>
  <si>
    <t>Debt ratio = celkové cizí zdroje / celková aktiva</t>
  </si>
  <si>
    <t>Equity ratio = vlastní kapitál / celková aktiva</t>
  </si>
  <si>
    <t>Finanční páka = celková aktiva / vlastní kapitál</t>
  </si>
  <si>
    <t>Debt/equity ratio = celkové cizí zdroje / vlastní kapitál</t>
  </si>
  <si>
    <t>Úrokové krytí = (EBIT) / úroky placené</t>
  </si>
  <si>
    <t>Maximální úroková míra = finanční náklady /(vlastní kapitál+bankovní úvěry+emit.obligace)</t>
  </si>
  <si>
    <t>Možnost dalšího zadlužení</t>
  </si>
  <si>
    <t>ano</t>
  </si>
  <si>
    <t>OBOROVÉ HODNOTY - Výroba nápojů</t>
  </si>
  <si>
    <t>L1 obor</t>
  </si>
  <si>
    <t>L2 obor</t>
  </si>
  <si>
    <t>L3 obor</t>
  </si>
  <si>
    <t>ROA s EBIT obor</t>
  </si>
  <si>
    <t>ROE obor</t>
  </si>
  <si>
    <t>rf</t>
  </si>
  <si>
    <t>re</t>
  </si>
  <si>
    <t>https://or.justice.cz/ias/ui/vypis-sl-firma?subjektId=218954</t>
  </si>
  <si>
    <t>změna 2021</t>
  </si>
  <si>
    <t>změna 2022</t>
  </si>
  <si>
    <t>370</t>
  </si>
  <si>
    <t>337</t>
  </si>
  <si>
    <t>Provozní cyklus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</si>
</sst>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E994"/>
        <bgColor rgb="FFFFDE59"/>
      </patternFill>
    </fill>
    <fill>
      <patternFill patternType="solid">
        <fgColor rgb="FFFFDE59"/>
        <bgColor rgb="FFFFD428"/>
      </patternFill>
    </fill>
    <fill>
      <patternFill patternType="solid">
        <fgColor rgb="FFFFD428"/>
        <bgColor rgb="FFFFDE59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6EF"/>
        <bgColor rgb="FFCC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rgb="FFFFDE59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0"/>
        <bgColor rgb="FFFFDE59"/>
      </patternFill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2" applyAlignment="1">
      <alignment vertical="center" wrapText="1"/>
    </xf>
    <xf numFmtId="0" fontId="2" fillId="0" borderId="0" xfId="2"/>
    <xf numFmtId="0" fontId="2" fillId="0" borderId="0" xfId="2" applyAlignment="1">
      <alignment horizontal="left" vertical="center" wrapText="1"/>
    </xf>
    <xf numFmtId="0" fontId="2" fillId="0" borderId="0" xfId="2" applyAlignment="1">
      <alignment vertical="top" wrapText="1"/>
    </xf>
    <xf numFmtId="0" fontId="4" fillId="2" borderId="0" xfId="0" applyFont="1" applyFill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49" fontId="0" fillId="2" borderId="0" xfId="0" applyNumberFormat="1" applyFill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4" fillId="3" borderId="18" xfId="0" applyFont="1" applyFill="1" applyBorder="1"/>
    <xf numFmtId="0" fontId="5" fillId="2" borderId="18" xfId="0" applyFont="1" applyFill="1" applyBorder="1" applyAlignment="1">
      <alignment vertical="center"/>
    </xf>
    <xf numFmtId="0" fontId="4" fillId="2" borderId="18" xfId="0" applyFont="1" applyFill="1" applyBorder="1"/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4" fillId="6" borderId="18" xfId="0" applyFont="1" applyFill="1" applyBorder="1" applyAlignment="1">
      <alignment vertical="center"/>
    </xf>
    <xf numFmtId="0" fontId="4" fillId="6" borderId="18" xfId="0" applyFont="1" applyFill="1" applyBorder="1"/>
    <xf numFmtId="0" fontId="4" fillId="2" borderId="18" xfId="0" applyFont="1" applyFill="1" applyBorder="1" applyAlignment="1">
      <alignment vertical="center"/>
    </xf>
    <xf numFmtId="49" fontId="4" fillId="3" borderId="20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3" fontId="5" fillId="4" borderId="21" xfId="0" applyNumberFormat="1" applyFont="1" applyFill="1" applyBorder="1" applyAlignment="1">
      <alignment vertical="center"/>
    </xf>
    <xf numFmtId="3" fontId="5" fillId="3" borderId="21" xfId="0" applyNumberFormat="1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3" fontId="4" fillId="5" borderId="21" xfId="0" applyNumberFormat="1" applyFont="1" applyFill="1" applyBorder="1" applyAlignment="1" applyProtection="1">
      <alignment vertical="center"/>
      <protection locked="0"/>
    </xf>
    <xf numFmtId="0" fontId="0" fillId="0" borderId="21" xfId="0" applyBorder="1"/>
    <xf numFmtId="3" fontId="4" fillId="6" borderId="21" xfId="0" applyNumberFormat="1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right" vertical="center"/>
    </xf>
    <xf numFmtId="0" fontId="4" fillId="5" borderId="21" xfId="0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vertical="center"/>
    </xf>
    <xf numFmtId="49" fontId="4" fillId="3" borderId="16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4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27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4" fillId="3" borderId="2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8" fillId="0" borderId="0" xfId="2" applyFont="1"/>
    <xf numFmtId="0" fontId="9" fillId="0" borderId="0" xfId="2" applyFont="1"/>
    <xf numFmtId="10" fontId="9" fillId="0" borderId="0" xfId="2" applyNumberFormat="1" applyFont="1"/>
    <xf numFmtId="0" fontId="10" fillId="11" borderId="21" xfId="2" applyFont="1" applyFill="1" applyBorder="1"/>
    <xf numFmtId="0" fontId="10" fillId="11" borderId="21" xfId="0" applyFont="1" applyFill="1" applyBorder="1" applyAlignment="1">
      <alignment horizontal="center"/>
    </xf>
    <xf numFmtId="0" fontId="10" fillId="11" borderId="30" xfId="0" applyFont="1" applyFill="1" applyBorder="1" applyAlignment="1">
      <alignment horizontal="center"/>
    </xf>
    <xf numFmtId="0" fontId="9" fillId="7" borderId="21" xfId="2" applyFont="1" applyFill="1" applyBorder="1"/>
    <xf numFmtId="2" fontId="9" fillId="0" borderId="21" xfId="2" applyNumberFormat="1" applyFont="1" applyBorder="1"/>
    <xf numFmtId="3" fontId="9" fillId="0" borderId="21" xfId="2" applyNumberFormat="1" applyFont="1" applyBorder="1"/>
    <xf numFmtId="10" fontId="9" fillId="0" borderId="21" xfId="2" applyNumberFormat="1" applyFont="1" applyBorder="1"/>
    <xf numFmtId="0" fontId="9" fillId="7" borderId="21" xfId="2" applyFont="1" applyFill="1" applyBorder="1" applyAlignment="1">
      <alignment wrapText="1"/>
    </xf>
    <xf numFmtId="10" fontId="9" fillId="0" borderId="21" xfId="2" applyNumberFormat="1" applyFont="1" applyBorder="1" applyAlignment="1">
      <alignment wrapText="1"/>
    </xf>
    <xf numFmtId="2" fontId="9" fillId="0" borderId="21" xfId="2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0" fontId="0" fillId="0" borderId="0" xfId="0" applyNumberFormat="1"/>
    <xf numFmtId="49" fontId="0" fillId="12" borderId="21" xfId="0" applyNumberFormat="1" applyFill="1" applyBorder="1" applyAlignment="1" applyProtection="1">
      <alignment horizontal="center" vertical="center"/>
      <protection hidden="1"/>
    </xf>
    <xf numFmtId="165" fontId="7" fillId="9" borderId="21" xfId="1" applyNumberFormat="1" applyFont="1" applyFill="1" applyBorder="1" applyAlignment="1" applyProtection="1">
      <alignment horizontal="right" vertical="center"/>
      <protection locked="0"/>
    </xf>
    <xf numFmtId="3" fontId="7" fillId="9" borderId="21" xfId="0" applyNumberFormat="1" applyFont="1" applyFill="1" applyBorder="1" applyAlignment="1" applyProtection="1">
      <alignment vertical="center"/>
      <protection locked="0"/>
    </xf>
    <xf numFmtId="0" fontId="0" fillId="9" borderId="21" xfId="0" applyFill="1" applyBorder="1"/>
    <xf numFmtId="49" fontId="0" fillId="2" borderId="21" xfId="0" applyNumberFormat="1" applyFill="1" applyBorder="1" applyAlignment="1" applyProtection="1">
      <alignment horizontal="center" vertical="center"/>
      <protection hidden="1"/>
    </xf>
    <xf numFmtId="3" fontId="7" fillId="2" borderId="21" xfId="0" applyNumberFormat="1" applyFont="1" applyFill="1" applyBorder="1" applyAlignment="1" applyProtection="1">
      <alignment vertical="center"/>
      <protection hidden="1"/>
    </xf>
    <xf numFmtId="49" fontId="0" fillId="5" borderId="21" xfId="0" applyNumberFormat="1" applyFill="1" applyBorder="1" applyAlignment="1" applyProtection="1">
      <alignment horizontal="center" vertical="center"/>
      <protection hidden="1"/>
    </xf>
    <xf numFmtId="165" fontId="1" fillId="0" borderId="21" xfId="1" applyNumberFormat="1" applyBorder="1" applyAlignment="1" applyProtection="1">
      <alignment horizontal="center" vertical="center"/>
      <protection hidden="1"/>
    </xf>
    <xf numFmtId="0" fontId="0" fillId="5" borderId="21" xfId="0" applyFill="1" applyBorder="1" applyAlignment="1" applyProtection="1">
      <alignment horizontal="right" vertical="center"/>
      <protection locked="0"/>
    </xf>
    <xf numFmtId="3" fontId="0" fillId="5" borderId="21" xfId="0" applyNumberFormat="1" applyFill="1" applyBorder="1" applyAlignment="1" applyProtection="1">
      <alignment vertical="center"/>
      <protection locked="0"/>
    </xf>
    <xf numFmtId="165" fontId="1" fillId="0" borderId="21" xfId="1" applyNumberFormat="1" applyBorder="1" applyAlignment="1" applyProtection="1">
      <alignment horizontal="right" vertical="center"/>
      <protection locked="0"/>
    </xf>
    <xf numFmtId="3" fontId="0" fillId="5" borderId="21" xfId="0" applyNumberFormat="1" applyFill="1" applyBorder="1" applyAlignment="1" applyProtection="1">
      <alignment horizontal="right" vertical="center"/>
      <protection locked="0"/>
    </xf>
    <xf numFmtId="3" fontId="7" fillId="10" borderId="21" xfId="0" applyNumberFormat="1" applyFont="1" applyFill="1" applyBorder="1" applyAlignment="1" applyProtection="1">
      <alignment horizontal="right" vertical="center"/>
      <protection locked="0"/>
    </xf>
    <xf numFmtId="3" fontId="7" fillId="2" borderId="21" xfId="0" applyNumberFormat="1" applyFont="1" applyFill="1" applyBorder="1" applyAlignment="1">
      <alignment vertical="center"/>
    </xf>
    <xf numFmtId="165" fontId="1" fillId="0" borderId="21" xfId="1" applyNumberFormat="1" applyBorder="1" applyAlignment="1" applyProtection="1">
      <alignment horizontal="right" vertical="center"/>
      <protection hidden="1"/>
    </xf>
    <xf numFmtId="49" fontId="0" fillId="6" borderId="21" xfId="0" applyNumberFormat="1" applyFill="1" applyBorder="1" applyAlignment="1" applyProtection="1">
      <alignment horizontal="center" vertical="center"/>
      <protection hidden="1"/>
    </xf>
    <xf numFmtId="3" fontId="0" fillId="6" borderId="21" xfId="0" applyNumberFormat="1" applyFill="1" applyBorder="1" applyAlignment="1">
      <alignment vertical="center"/>
    </xf>
    <xf numFmtId="3" fontId="0" fillId="5" borderId="21" xfId="0" applyNumberFormat="1" applyFill="1" applyBorder="1" applyAlignment="1" applyProtection="1">
      <alignment horizontal="right" vertical="center"/>
      <protection hidden="1"/>
    </xf>
    <xf numFmtId="49" fontId="0" fillId="13" borderId="21" xfId="0" applyNumberFormat="1" applyFill="1" applyBorder="1" applyAlignment="1" applyProtection="1">
      <alignment horizontal="center" vertical="center"/>
      <protection hidden="1"/>
    </xf>
    <xf numFmtId="3" fontId="7" fillId="13" borderId="21" xfId="0" applyNumberFormat="1" applyFont="1" applyFill="1" applyBorder="1" applyAlignment="1" applyProtection="1">
      <alignment vertical="center"/>
      <protection hidden="1"/>
    </xf>
    <xf numFmtId="0" fontId="0" fillId="5" borderId="21" xfId="0" applyFill="1" applyBorder="1" applyAlignment="1" applyProtection="1">
      <alignment horizontal="right" vertical="center"/>
      <protection hidden="1"/>
    </xf>
    <xf numFmtId="3" fontId="0" fillId="0" borderId="21" xfId="0" applyNumberFormat="1" applyBorder="1"/>
    <xf numFmtId="49" fontId="0" fillId="3" borderId="21" xfId="0" applyNumberFormat="1" applyFill="1" applyBorder="1" applyAlignment="1" applyProtection="1">
      <alignment horizontal="center" vertical="center"/>
      <protection hidden="1"/>
    </xf>
    <xf numFmtId="3" fontId="7" fillId="3" borderId="21" xfId="0" applyNumberFormat="1" applyFont="1" applyFill="1" applyBorder="1" applyAlignment="1">
      <alignment vertical="center"/>
    </xf>
    <xf numFmtId="49" fontId="0" fillId="8" borderId="21" xfId="0" applyNumberFormat="1" applyFill="1" applyBorder="1" applyAlignment="1" applyProtection="1">
      <alignment horizontal="center" vertical="center"/>
      <protection hidden="1"/>
    </xf>
    <xf numFmtId="3" fontId="7" fillId="8" borderId="21" xfId="0" applyNumberFormat="1" applyFont="1" applyFill="1" applyBorder="1" applyAlignment="1">
      <alignment vertical="center"/>
    </xf>
    <xf numFmtId="49" fontId="0" fillId="5" borderId="21" xfId="0" applyNumberFormat="1" applyFill="1" applyBorder="1" applyAlignment="1" applyProtection="1">
      <alignment horizontal="right" vertical="center"/>
      <protection hidden="1"/>
    </xf>
    <xf numFmtId="3" fontId="7" fillId="10" borderId="21" xfId="0" applyNumberFormat="1" applyFont="1" applyFill="1" applyBorder="1" applyAlignment="1" applyProtection="1">
      <alignment vertical="center"/>
      <protection locked="0"/>
    </xf>
    <xf numFmtId="3" fontId="0" fillId="5" borderId="21" xfId="0" applyNumberFormat="1" applyFill="1" applyBorder="1" applyAlignment="1" applyProtection="1">
      <alignment horizontal="center" vertical="center"/>
      <protection hidden="1"/>
    </xf>
    <xf numFmtId="3" fontId="6" fillId="8" borderId="21" xfId="0" applyNumberFormat="1" applyFont="1" applyFill="1" applyBorder="1" applyAlignment="1" applyProtection="1">
      <alignment vertical="center"/>
      <protection hidden="1"/>
    </xf>
    <xf numFmtId="0" fontId="6" fillId="2" borderId="21" xfId="0" applyFont="1" applyFill="1" applyBorder="1" applyAlignment="1" applyProtection="1">
      <alignment horizontal="right" vertical="center"/>
      <protection hidden="1"/>
    </xf>
    <xf numFmtId="49" fontId="6" fillId="2" borderId="21" xfId="0" applyNumberFormat="1" applyFont="1" applyFill="1" applyBorder="1" applyAlignment="1" applyProtection="1">
      <alignment horizontal="center" vertical="center"/>
      <protection hidden="1"/>
    </xf>
    <xf numFmtId="3" fontId="0" fillId="2" borderId="21" xfId="0" applyNumberFormat="1" applyFill="1" applyBorder="1" applyAlignment="1" applyProtection="1">
      <alignment vertical="center"/>
      <protection locked="0"/>
    </xf>
    <xf numFmtId="10" fontId="5" fillId="4" borderId="21" xfId="3" applyNumberFormat="1" applyFont="1" applyFill="1" applyBorder="1" applyAlignment="1">
      <alignment vertical="center"/>
    </xf>
    <xf numFmtId="10" fontId="4" fillId="5" borderId="21" xfId="3" applyNumberFormat="1" applyFont="1" applyFill="1" applyBorder="1" applyAlignment="1">
      <alignment horizontal="right" vertical="center"/>
    </xf>
    <xf numFmtId="10" fontId="5" fillId="3" borderId="21" xfId="3" applyNumberFormat="1" applyFont="1" applyFill="1" applyBorder="1" applyAlignment="1">
      <alignment vertical="center"/>
    </xf>
    <xf numFmtId="10" fontId="5" fillId="2" borderId="21" xfId="3" applyNumberFormat="1" applyFont="1" applyFill="1" applyBorder="1" applyAlignment="1">
      <alignment vertical="center"/>
    </xf>
    <xf numFmtId="10" fontId="4" fillId="6" borderId="21" xfId="3" applyNumberFormat="1" applyFont="1" applyFill="1" applyBorder="1" applyAlignment="1">
      <alignment vertical="center"/>
    </xf>
    <xf numFmtId="10" fontId="0" fillId="0" borderId="21" xfId="3" applyNumberFormat="1" applyFont="1" applyBorder="1"/>
    <xf numFmtId="10" fontId="4" fillId="5" borderId="21" xfId="3" applyNumberFormat="1" applyFont="1" applyFill="1" applyBorder="1" applyAlignment="1" applyProtection="1">
      <alignment vertical="center"/>
      <protection locked="0"/>
    </xf>
    <xf numFmtId="165" fontId="0" fillId="0" borderId="21" xfId="0" applyNumberFormat="1" applyBorder="1" applyAlignment="1">
      <alignment horizontal="right"/>
    </xf>
    <xf numFmtId="10" fontId="7" fillId="9" borderId="21" xfId="3" applyNumberFormat="1" applyFont="1" applyFill="1" applyBorder="1" applyAlignment="1" applyProtection="1">
      <alignment vertical="center"/>
      <protection locked="0"/>
    </xf>
    <xf numFmtId="10" fontId="7" fillId="2" borderId="21" xfId="3" applyNumberFormat="1" applyFont="1" applyFill="1" applyBorder="1" applyAlignment="1" applyProtection="1">
      <alignment vertical="center"/>
      <protection hidden="1"/>
    </xf>
    <xf numFmtId="10" fontId="0" fillId="5" borderId="21" xfId="3" applyNumberFormat="1" applyFont="1" applyFill="1" applyBorder="1" applyAlignment="1" applyProtection="1">
      <alignment vertical="center"/>
      <protection locked="0"/>
    </xf>
    <xf numFmtId="10" fontId="7" fillId="10" borderId="21" xfId="3" applyNumberFormat="1" applyFont="1" applyFill="1" applyBorder="1" applyAlignment="1" applyProtection="1">
      <alignment horizontal="right" vertical="center"/>
      <protection locked="0"/>
    </xf>
    <xf numFmtId="10" fontId="7" fillId="2" borderId="21" xfId="3" applyNumberFormat="1" applyFont="1" applyFill="1" applyBorder="1" applyAlignment="1">
      <alignment vertical="center"/>
    </xf>
    <xf numFmtId="10" fontId="0" fillId="6" borderId="21" xfId="3" applyNumberFormat="1" applyFont="1" applyFill="1" applyBorder="1" applyAlignment="1">
      <alignment vertical="center"/>
    </xf>
    <xf numFmtId="10" fontId="7" fillId="13" borderId="21" xfId="3" applyNumberFormat="1" applyFont="1" applyFill="1" applyBorder="1" applyAlignment="1" applyProtection="1">
      <alignment vertical="center"/>
      <protection hidden="1"/>
    </xf>
    <xf numFmtId="10" fontId="7" fillId="3" borderId="21" xfId="3" applyNumberFormat="1" applyFont="1" applyFill="1" applyBorder="1" applyAlignment="1">
      <alignment vertical="center"/>
    </xf>
    <xf numFmtId="10" fontId="7" fillId="8" borderId="21" xfId="3" applyNumberFormat="1" applyFont="1" applyFill="1" applyBorder="1" applyAlignment="1">
      <alignment vertical="center"/>
    </xf>
    <xf numFmtId="10" fontId="7" fillId="10" borderId="21" xfId="3" applyNumberFormat="1" applyFont="1" applyFill="1" applyBorder="1" applyAlignment="1" applyProtection="1">
      <alignment vertical="center"/>
      <protection locked="0"/>
    </xf>
    <xf numFmtId="10" fontId="0" fillId="5" borderId="21" xfId="3" applyNumberFormat="1" applyFont="1" applyFill="1" applyBorder="1" applyAlignment="1" applyProtection="1">
      <alignment horizontal="right" vertical="center"/>
      <protection hidden="1"/>
    </xf>
    <xf numFmtId="10" fontId="6" fillId="8" borderId="21" xfId="3" applyNumberFormat="1" applyFont="1" applyFill="1" applyBorder="1" applyAlignment="1" applyProtection="1">
      <alignment vertical="center"/>
      <protection hidden="1"/>
    </xf>
    <xf numFmtId="10" fontId="6" fillId="2" borderId="21" xfId="3" applyNumberFormat="1" applyFont="1" applyFill="1" applyBorder="1" applyAlignment="1" applyProtection="1">
      <alignment horizontal="center" vertical="center"/>
      <protection hidden="1"/>
    </xf>
    <xf numFmtId="10" fontId="0" fillId="2" borderId="21" xfId="3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/>
    <xf numFmtId="2" fontId="0" fillId="0" borderId="21" xfId="0" applyNumberFormat="1" applyBorder="1"/>
    <xf numFmtId="2" fontId="11" fillId="0" borderId="21" xfId="0" applyNumberFormat="1" applyFont="1" applyBorder="1"/>
    <xf numFmtId="10" fontId="0" fillId="0" borderId="21" xfId="0" applyNumberFormat="1" applyBorder="1"/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 applyProtection="1">
      <alignment horizontal="center" vertical="center"/>
      <protection hidden="1"/>
    </xf>
    <xf numFmtId="10" fontId="0" fillId="0" borderId="0" xfId="3" applyNumberFormat="1" applyFont="1"/>
    <xf numFmtId="49" fontId="4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vertical="center"/>
    </xf>
    <xf numFmtId="10" fontId="5" fillId="0" borderId="21" xfId="3" applyNumberFormat="1" applyFont="1" applyFill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10" fontId="4" fillId="0" borderId="21" xfId="3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12" fillId="0" borderId="0" xfId="4"/>
    <xf numFmtId="0" fontId="4" fillId="3" borderId="0" xfId="0" applyFont="1" applyFill="1" applyAlignment="1">
      <alignment horizontal="center"/>
    </xf>
    <xf numFmtId="3" fontId="5" fillId="14" borderId="2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21" xfId="0" applyFont="1" applyBorder="1" applyAlignment="1">
      <alignment vertical="center" wrapText="1"/>
    </xf>
    <xf numFmtId="0" fontId="5" fillId="2" borderId="2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3" borderId="1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2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left" vertical="center"/>
    </xf>
    <xf numFmtId="0" fontId="5" fillId="8" borderId="31" xfId="0" applyFont="1" applyFill="1" applyBorder="1" applyAlignment="1">
      <alignment horizontal="left" vertical="center"/>
    </xf>
    <xf numFmtId="0" fontId="4" fillId="0" borderId="21" xfId="0" applyFont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vertical="center"/>
      <protection hidden="1"/>
    </xf>
    <xf numFmtId="0" fontId="7" fillId="3" borderId="25" xfId="0" applyFont="1" applyFill="1" applyBorder="1" applyAlignment="1" applyProtection="1">
      <alignment horizontal="center" vertical="center"/>
      <protection hidden="1"/>
    </xf>
    <xf numFmtId="0" fontId="5" fillId="3" borderId="28" xfId="0" applyFont="1" applyFill="1" applyBorder="1" applyAlignment="1" applyProtection="1">
      <alignment vertical="center"/>
      <protection hidden="1"/>
    </xf>
    <xf numFmtId="0" fontId="5" fillId="3" borderId="32" xfId="0" applyFont="1" applyFill="1" applyBorder="1" applyAlignment="1" applyProtection="1">
      <alignment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5" fillId="13" borderId="21" xfId="0" applyFont="1" applyFill="1" applyBorder="1" applyAlignment="1" applyProtection="1">
      <alignment vertical="center"/>
      <protection hidden="1"/>
    </xf>
    <xf numFmtId="0" fontId="5" fillId="13" borderId="31" xfId="0" applyFont="1" applyFill="1" applyBorder="1" applyAlignment="1" applyProtection="1">
      <alignment vertical="center"/>
      <protection hidden="1"/>
    </xf>
    <xf numFmtId="0" fontId="4" fillId="3" borderId="24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vertical="center"/>
      <protection hidden="1"/>
    </xf>
    <xf numFmtId="0" fontId="5" fillId="2" borderId="31" xfId="0" applyFont="1" applyFill="1" applyBorder="1" applyAlignment="1" applyProtection="1">
      <alignment vertical="center"/>
      <protection hidden="1"/>
    </xf>
    <xf numFmtId="0" fontId="4" fillId="6" borderId="21" xfId="0" applyFont="1" applyFill="1" applyBorder="1" applyAlignment="1" applyProtection="1">
      <alignment vertical="center" wrapText="1"/>
      <protection hidden="1"/>
    </xf>
    <xf numFmtId="0" fontId="4" fillId="6" borderId="31" xfId="0" applyFont="1" applyFill="1" applyBorder="1" applyAlignment="1" applyProtection="1">
      <alignment vertical="center" wrapText="1"/>
      <protection hidden="1"/>
    </xf>
    <xf numFmtId="0" fontId="4" fillId="6" borderId="21" xfId="0" applyFont="1" applyFill="1" applyBorder="1" applyAlignment="1" applyProtection="1">
      <alignment vertical="center"/>
      <protection hidden="1"/>
    </xf>
    <xf numFmtId="0" fontId="4" fillId="6" borderId="31" xfId="0" applyFont="1" applyFill="1" applyBorder="1" applyAlignment="1" applyProtection="1">
      <alignment vertical="center"/>
      <protection hidden="1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5" fillId="12" borderId="21" xfId="0" applyFont="1" applyFill="1" applyBorder="1" applyAlignment="1" applyProtection="1">
      <alignment vertical="center"/>
      <protection hidden="1"/>
    </xf>
    <xf numFmtId="0" fontId="5" fillId="12" borderId="31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</cellXfs>
  <cellStyles count="5">
    <cellStyle name="Čárka" xfId="1" builtinId="3"/>
    <cellStyle name="Hypertextový odkaz" xfId="4" builtinId="8"/>
    <cellStyle name="Normální" xfId="0" builtinId="0"/>
    <cellStyle name="Normální 2" xfId="2" xr:uid="{00000000-0005-0000-0000-00000200000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r.justice.cz/ias/ui/vypis-sl-firma?subjektId=218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B23" sqref="B23"/>
    </sheetView>
  </sheetViews>
  <sheetFormatPr defaultColWidth="9.109375" defaultRowHeight="13.2" x14ac:dyDescent="0.25"/>
  <cols>
    <col min="1" max="1" width="9.109375" style="2"/>
    <col min="2" max="2" width="50.5546875" style="2" customWidth="1"/>
    <col min="3" max="16384" width="9.109375" style="2"/>
  </cols>
  <sheetData>
    <row r="1" spans="1:2" ht="26.4" x14ac:dyDescent="0.25">
      <c r="A1" s="1" t="s">
        <v>0</v>
      </c>
      <c r="B1" s="1" t="s">
        <v>1</v>
      </c>
    </row>
    <row r="4" spans="1:2" ht="26.4" x14ac:dyDescent="0.25">
      <c r="A4" s="1" t="s">
        <v>2</v>
      </c>
      <c r="B4" s="1" t="s">
        <v>3</v>
      </c>
    </row>
    <row r="7" spans="1:2" ht="26.4" x14ac:dyDescent="0.25">
      <c r="A7" s="1" t="s">
        <v>4</v>
      </c>
      <c r="B7" s="1" t="s">
        <v>5</v>
      </c>
    </row>
    <row r="10" spans="1:2" x14ac:dyDescent="0.25">
      <c r="A10" s="1" t="s">
        <v>6</v>
      </c>
      <c r="B10" s="1" t="s">
        <v>7</v>
      </c>
    </row>
    <row r="13" spans="1:2" ht="26.4" x14ac:dyDescent="0.25">
      <c r="A13" s="1" t="s">
        <v>8</v>
      </c>
      <c r="B13" s="3">
        <v>26312999</v>
      </c>
    </row>
    <row r="16" spans="1:2" ht="26.4" x14ac:dyDescent="0.25">
      <c r="A16" s="1" t="s">
        <v>9</v>
      </c>
      <c r="B16" s="1" t="s">
        <v>10</v>
      </c>
    </row>
    <row r="19" spans="1:2" ht="39.6" x14ac:dyDescent="0.25">
      <c r="A19" s="1" t="s">
        <v>11</v>
      </c>
      <c r="B19" s="1"/>
    </row>
    <row r="20" spans="1:2" ht="26.4" x14ac:dyDescent="0.25">
      <c r="A20" s="4"/>
      <c r="B20" s="1" t="s">
        <v>12</v>
      </c>
    </row>
    <row r="21" spans="1:2" x14ac:dyDescent="0.25">
      <c r="B21" s="2" t="s">
        <v>13</v>
      </c>
    </row>
    <row r="23" spans="1:2" x14ac:dyDescent="0.25">
      <c r="A23" s="4"/>
      <c r="B23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4"/>
  <sheetViews>
    <sheetView topLeftCell="AA28" workbookViewId="0">
      <selection activeCell="AR34" sqref="AR34"/>
    </sheetView>
  </sheetViews>
  <sheetFormatPr defaultRowHeight="14.4" x14ac:dyDescent="0.3"/>
  <cols>
    <col min="13" max="13" width="9.88671875" customWidth="1"/>
    <col min="18" max="18" width="11.5546875" customWidth="1"/>
    <col min="19" max="19" width="12.33203125" customWidth="1"/>
    <col min="20" max="20" width="12.6640625" customWidth="1"/>
    <col min="21" max="21" width="12.5546875" customWidth="1"/>
    <col min="22" max="25" width="10.6640625" customWidth="1"/>
    <col min="26" max="26" width="13.6640625" customWidth="1"/>
    <col min="27" max="27" width="11.44140625" customWidth="1"/>
    <col min="28" max="28" width="11.88671875" customWidth="1"/>
    <col min="29" max="29" width="12.33203125" customWidth="1"/>
    <col min="30" max="33" width="11.88671875" customWidth="1"/>
  </cols>
  <sheetData>
    <row r="1" spans="1:42" ht="15" customHeight="1" x14ac:dyDescent="0.3">
      <c r="A1" s="182" t="s">
        <v>14</v>
      </c>
      <c r="B1" s="182"/>
      <c r="C1" s="182"/>
      <c r="D1" s="182"/>
      <c r="E1" s="182"/>
      <c r="F1" s="182"/>
      <c r="G1" s="182"/>
      <c r="H1" s="5"/>
      <c r="I1" s="177" t="s">
        <v>15</v>
      </c>
      <c r="J1" s="177"/>
      <c r="K1" s="177"/>
      <c r="L1" s="177"/>
      <c r="M1" s="177"/>
      <c r="N1" s="177"/>
      <c r="O1" s="177"/>
      <c r="P1" s="170"/>
      <c r="Q1" s="170"/>
      <c r="R1" s="177" t="s">
        <v>16</v>
      </c>
      <c r="S1" s="177"/>
      <c r="T1" s="177"/>
      <c r="U1" s="177"/>
      <c r="V1" s="177"/>
      <c r="W1" s="177"/>
      <c r="X1" s="170"/>
      <c r="Y1" s="170"/>
      <c r="Z1" s="177" t="s">
        <v>17</v>
      </c>
      <c r="AA1" s="177"/>
      <c r="AB1" s="177"/>
      <c r="AC1" s="177"/>
      <c r="AD1" s="177"/>
      <c r="AE1" s="177"/>
      <c r="AF1" s="170"/>
      <c r="AG1" s="170"/>
      <c r="AH1" s="177" t="s">
        <v>18</v>
      </c>
      <c r="AI1" s="177"/>
      <c r="AJ1" s="177"/>
      <c r="AK1" s="177"/>
      <c r="AL1" s="177"/>
      <c r="AM1" s="177"/>
      <c r="AN1" s="177"/>
    </row>
    <row r="2" spans="1:42" x14ac:dyDescent="0.3">
      <c r="A2" s="182"/>
      <c r="B2" s="182"/>
      <c r="C2" s="182"/>
      <c r="D2" s="182"/>
      <c r="E2" s="182"/>
      <c r="F2" s="182"/>
      <c r="G2" s="182"/>
      <c r="H2" s="181"/>
      <c r="I2" s="177"/>
      <c r="J2" s="177"/>
      <c r="K2" s="177"/>
      <c r="L2" s="177"/>
      <c r="M2" s="177"/>
      <c r="N2" s="177"/>
      <c r="O2" s="177"/>
      <c r="P2" s="170"/>
      <c r="Q2" s="170"/>
      <c r="R2" s="178"/>
      <c r="S2" s="178"/>
      <c r="T2" s="178"/>
      <c r="U2" s="178"/>
      <c r="V2" s="178"/>
      <c r="W2" s="178"/>
      <c r="X2" s="171"/>
      <c r="Y2" s="171"/>
      <c r="Z2" s="178"/>
      <c r="AA2" s="178"/>
      <c r="AB2" s="178"/>
      <c r="AC2" s="178"/>
      <c r="AD2" s="178"/>
      <c r="AE2" s="178"/>
      <c r="AF2" s="171"/>
      <c r="AG2" s="171"/>
      <c r="AH2" s="178"/>
      <c r="AI2" s="178"/>
      <c r="AJ2" s="178"/>
      <c r="AK2" s="178"/>
      <c r="AL2" s="178"/>
      <c r="AM2" s="178"/>
      <c r="AN2" s="178"/>
    </row>
    <row r="3" spans="1:42" x14ac:dyDescent="0.3">
      <c r="A3" s="182"/>
      <c r="B3" s="182"/>
      <c r="C3" s="182"/>
      <c r="D3" s="183"/>
      <c r="E3" s="183"/>
      <c r="F3" s="183"/>
      <c r="G3" s="183"/>
      <c r="H3" s="181"/>
      <c r="I3" s="40">
        <v>2014</v>
      </c>
      <c r="J3" s="40">
        <v>2015</v>
      </c>
      <c r="K3" s="40">
        <v>2016</v>
      </c>
      <c r="L3" s="40">
        <v>2017</v>
      </c>
      <c r="M3" s="40">
        <v>2018</v>
      </c>
      <c r="N3" s="95">
        <v>2019</v>
      </c>
      <c r="O3" s="40">
        <v>2020</v>
      </c>
      <c r="P3" s="40">
        <v>2021</v>
      </c>
      <c r="Q3" s="175">
        <v>2022</v>
      </c>
      <c r="R3" s="47" t="s">
        <v>19</v>
      </c>
      <c r="S3" s="47" t="s">
        <v>20</v>
      </c>
      <c r="T3" s="47" t="s">
        <v>21</v>
      </c>
      <c r="U3" s="47" t="s">
        <v>22</v>
      </c>
      <c r="V3" s="47" t="s">
        <v>23</v>
      </c>
      <c r="W3" s="47" t="s">
        <v>24</v>
      </c>
      <c r="X3" s="47" t="s">
        <v>272</v>
      </c>
      <c r="Y3" s="47" t="s">
        <v>273</v>
      </c>
      <c r="Z3" s="47" t="s">
        <v>19</v>
      </c>
      <c r="AA3" s="47" t="s">
        <v>20</v>
      </c>
      <c r="AB3" s="47" t="s">
        <v>21</v>
      </c>
      <c r="AC3" s="47" t="s">
        <v>22</v>
      </c>
      <c r="AD3" s="47" t="s">
        <v>23</v>
      </c>
      <c r="AE3" s="47" t="s">
        <v>24</v>
      </c>
      <c r="AF3" s="47" t="s">
        <v>272</v>
      </c>
      <c r="AG3" s="47" t="s">
        <v>273</v>
      </c>
      <c r="AH3" s="47">
        <v>2014</v>
      </c>
      <c r="AI3" s="47">
        <v>2015</v>
      </c>
      <c r="AJ3" s="47">
        <v>2016</v>
      </c>
      <c r="AK3" s="47">
        <v>2017</v>
      </c>
      <c r="AL3" s="47">
        <v>2018</v>
      </c>
      <c r="AM3" s="47">
        <v>2019</v>
      </c>
      <c r="AN3" s="47">
        <v>2020</v>
      </c>
      <c r="AO3" s="47">
        <v>2021</v>
      </c>
      <c r="AP3" s="47">
        <v>2022</v>
      </c>
    </row>
    <row r="4" spans="1:42" x14ac:dyDescent="0.3">
      <c r="A4" s="196"/>
      <c r="B4" s="196"/>
      <c r="C4" s="197"/>
      <c r="D4" s="198" t="s">
        <v>25</v>
      </c>
      <c r="E4" s="198"/>
      <c r="F4" s="198"/>
      <c r="G4" s="198"/>
      <c r="H4" s="62" t="s">
        <v>26</v>
      </c>
      <c r="I4" s="48">
        <v>244008</v>
      </c>
      <c r="J4" s="48">
        <v>233786</v>
      </c>
      <c r="K4" s="48">
        <v>259031</v>
      </c>
      <c r="L4" s="48">
        <v>255457</v>
      </c>
      <c r="M4" s="48">
        <v>262375</v>
      </c>
      <c r="N4" s="48">
        <v>240525</v>
      </c>
      <c r="O4" s="48">
        <v>259555</v>
      </c>
      <c r="P4" s="48">
        <v>278190</v>
      </c>
      <c r="Q4" s="48">
        <v>277651</v>
      </c>
      <c r="R4" s="48">
        <f t="shared" ref="R4:W4" si="0">J4-I4</f>
        <v>-10222</v>
      </c>
      <c r="S4" s="48">
        <f t="shared" si="0"/>
        <v>25245</v>
      </c>
      <c r="T4" s="48">
        <f t="shared" si="0"/>
        <v>-3574</v>
      </c>
      <c r="U4" s="48">
        <f t="shared" si="0"/>
        <v>6918</v>
      </c>
      <c r="V4" s="48">
        <f t="shared" si="0"/>
        <v>-21850</v>
      </c>
      <c r="W4" s="48">
        <f t="shared" si="0"/>
        <v>19030</v>
      </c>
      <c r="X4" s="48">
        <f t="shared" ref="X4:X16" si="1">P4-O4</f>
        <v>18635</v>
      </c>
      <c r="Y4" s="48">
        <f t="shared" ref="Y4:Y16" si="2">Q4-P4</f>
        <v>-539</v>
      </c>
      <c r="Z4" s="130">
        <f t="shared" ref="Z4:AE4" si="3">(J4-I4)/I4</f>
        <v>-4.1892069112488113E-2</v>
      </c>
      <c r="AA4" s="130">
        <f t="shared" si="3"/>
        <v>0.1079833694062091</v>
      </c>
      <c r="AB4" s="130">
        <f t="shared" si="3"/>
        <v>-1.3797576351865222E-2</v>
      </c>
      <c r="AC4" s="130">
        <f t="shared" si="3"/>
        <v>2.7080878582305436E-2</v>
      </c>
      <c r="AD4" s="130">
        <f t="shared" si="3"/>
        <v>-8.3277751310147696E-2</v>
      </c>
      <c r="AE4" s="130">
        <f>(O4-N4)/N4</f>
        <v>7.9118594740671441E-2</v>
      </c>
      <c r="AF4" s="130">
        <f t="shared" ref="AF4" si="4">(P4-O4)/O4</f>
        <v>7.1795958467376852E-2</v>
      </c>
      <c r="AG4" s="130">
        <f>(Q4-P4)/P4</f>
        <v>-1.9375247133254251E-3</v>
      </c>
      <c r="AH4" s="130">
        <f t="shared" ref="AH4:AH16" si="5">I4/I$4</f>
        <v>1</v>
      </c>
      <c r="AI4" s="130">
        <f t="shared" ref="AI4:AN4" si="6">J4/J$4</f>
        <v>1</v>
      </c>
      <c r="AJ4" s="130">
        <f t="shared" si="6"/>
        <v>1</v>
      </c>
      <c r="AK4" s="130">
        <f t="shared" si="6"/>
        <v>1</v>
      </c>
      <c r="AL4" s="130">
        <f t="shared" si="6"/>
        <v>1</v>
      </c>
      <c r="AM4" s="130">
        <f t="shared" si="6"/>
        <v>1</v>
      </c>
      <c r="AN4" s="130">
        <f t="shared" si="6"/>
        <v>1</v>
      </c>
      <c r="AO4" s="130">
        <f t="shared" ref="AO4:AO16" si="7">P4/P$4</f>
        <v>1</v>
      </c>
      <c r="AP4" s="130">
        <f t="shared" ref="AP4:AP16" si="8">Q4/Q$4</f>
        <v>1</v>
      </c>
    </row>
    <row r="5" spans="1:42" x14ac:dyDescent="0.3">
      <c r="A5" s="6" t="s">
        <v>27</v>
      </c>
      <c r="B5" s="190"/>
      <c r="C5" s="191"/>
      <c r="D5" s="201" t="s">
        <v>28</v>
      </c>
      <c r="E5" s="201"/>
      <c r="F5" s="201"/>
      <c r="G5" s="201"/>
      <c r="H5" s="51" t="s">
        <v>29</v>
      </c>
      <c r="I5" s="57">
        <v>0</v>
      </c>
      <c r="J5" s="58">
        <v>0</v>
      </c>
      <c r="K5" s="58">
        <v>0</v>
      </c>
      <c r="L5" s="58">
        <v>0</v>
      </c>
      <c r="M5" s="53">
        <v>0</v>
      </c>
      <c r="N5" s="57">
        <v>0</v>
      </c>
      <c r="O5" s="57"/>
      <c r="P5" s="57"/>
      <c r="Q5" s="57"/>
      <c r="R5" s="57">
        <f t="shared" ref="R5:R16" si="9">J5-I5</f>
        <v>0</v>
      </c>
      <c r="S5" s="57">
        <f t="shared" ref="S5:S16" si="10">K5-J5</f>
        <v>0</v>
      </c>
      <c r="T5" s="57">
        <f t="shared" ref="T5:T16" si="11">L5-K5</f>
        <v>0</v>
      </c>
      <c r="U5" s="57">
        <f t="shared" ref="U5:U16" si="12">M5-L5</f>
        <v>0</v>
      </c>
      <c r="V5" s="57">
        <f t="shared" ref="V5:W16" si="13">N5-M5</f>
        <v>0</v>
      </c>
      <c r="W5" s="57">
        <f t="shared" si="13"/>
        <v>0</v>
      </c>
      <c r="X5" s="57">
        <f t="shared" si="1"/>
        <v>0</v>
      </c>
      <c r="Y5" s="57">
        <f t="shared" si="2"/>
        <v>0</v>
      </c>
      <c r="Z5" s="131">
        <v>0</v>
      </c>
      <c r="AA5" s="131">
        <v>0</v>
      </c>
      <c r="AB5" s="131">
        <v>0</v>
      </c>
      <c r="AC5" s="131">
        <v>0</v>
      </c>
      <c r="AD5" s="131">
        <v>0</v>
      </c>
      <c r="AE5" s="131">
        <v>0</v>
      </c>
      <c r="AF5" s="131">
        <v>0</v>
      </c>
      <c r="AG5" s="131">
        <v>0</v>
      </c>
      <c r="AH5" s="131">
        <f t="shared" si="5"/>
        <v>0</v>
      </c>
      <c r="AI5" s="131">
        <f t="shared" ref="AI5:AI16" si="14">J5/J$4</f>
        <v>0</v>
      </c>
      <c r="AJ5" s="131">
        <f t="shared" ref="AJ5:AJ16" si="15">K5/K$4</f>
        <v>0</v>
      </c>
      <c r="AK5" s="131">
        <f t="shared" ref="AK5:AK16" si="16">L5/L$4</f>
        <v>0</v>
      </c>
      <c r="AL5" s="131">
        <f t="shared" ref="AL5:AL16" si="17">M5/M$4</f>
        <v>0</v>
      </c>
      <c r="AM5" s="131">
        <f t="shared" ref="AM5:AN16" si="18">N5/N$4</f>
        <v>0</v>
      </c>
      <c r="AN5" s="131">
        <f t="shared" si="18"/>
        <v>0</v>
      </c>
      <c r="AO5" s="131">
        <f t="shared" si="7"/>
        <v>0</v>
      </c>
      <c r="AP5" s="131">
        <f t="shared" si="8"/>
        <v>0</v>
      </c>
    </row>
    <row r="6" spans="1:42" x14ac:dyDescent="0.3">
      <c r="A6" s="6" t="s">
        <v>30</v>
      </c>
      <c r="B6" s="190"/>
      <c r="C6" s="191"/>
      <c r="D6" s="189" t="s">
        <v>31</v>
      </c>
      <c r="E6" s="189"/>
      <c r="F6" s="189"/>
      <c r="G6" s="189"/>
      <c r="H6" s="63" t="s">
        <v>32</v>
      </c>
      <c r="I6" s="49">
        <v>140274</v>
      </c>
      <c r="J6" s="49">
        <v>118465</v>
      </c>
      <c r="K6" s="49">
        <v>131777</v>
      </c>
      <c r="L6" s="49">
        <v>125715</v>
      </c>
      <c r="M6" s="49">
        <v>121106</v>
      </c>
      <c r="N6" s="49">
        <v>112071</v>
      </c>
      <c r="O6" s="49">
        <v>119028</v>
      </c>
      <c r="P6" s="49">
        <v>125378</v>
      </c>
      <c r="Q6" s="49">
        <v>122670</v>
      </c>
      <c r="R6" s="49">
        <f t="shared" si="9"/>
        <v>-21809</v>
      </c>
      <c r="S6" s="49">
        <f t="shared" si="10"/>
        <v>13312</v>
      </c>
      <c r="T6" s="49">
        <f t="shared" si="11"/>
        <v>-6062</v>
      </c>
      <c r="U6" s="49">
        <f t="shared" si="12"/>
        <v>-4609</v>
      </c>
      <c r="V6" s="49">
        <f t="shared" si="13"/>
        <v>-9035</v>
      </c>
      <c r="W6" s="49">
        <f t="shared" si="13"/>
        <v>6957</v>
      </c>
      <c r="X6" s="49">
        <f t="shared" si="1"/>
        <v>6350</v>
      </c>
      <c r="Y6" s="49">
        <f t="shared" si="2"/>
        <v>-2708</v>
      </c>
      <c r="Z6" s="132">
        <f t="shared" ref="Z6:Z16" si="19">(J6-I6)/I6</f>
        <v>-0.15547428604017852</v>
      </c>
      <c r="AA6" s="132">
        <f t="shared" ref="AA6:AA16" si="20">(K6-J6)/J6</f>
        <v>0.11237074241337104</v>
      </c>
      <c r="AB6" s="132">
        <f t="shared" ref="AB6:AB16" si="21">(L6-K6)/K6</f>
        <v>-4.6001957853039607E-2</v>
      </c>
      <c r="AC6" s="132">
        <f t="shared" ref="AC6:AC16" si="22">(M6-L6)/L6</f>
        <v>-3.6662291691524483E-2</v>
      </c>
      <c r="AD6" s="132">
        <f t="shared" ref="AD6:AE11" si="23">(N6-M6)/M6</f>
        <v>-7.4604065859660132E-2</v>
      </c>
      <c r="AE6" s="132">
        <f t="shared" si="23"/>
        <v>6.2076719222635648E-2</v>
      </c>
      <c r="AF6" s="132">
        <f t="shared" ref="AF6:AF11" si="24">(P6-O6)/O6</f>
        <v>5.3348791880901976E-2</v>
      </c>
      <c r="AG6" s="132">
        <f t="shared" ref="AG6:AG11" si="25">(Q6-P6)/P6</f>
        <v>-2.1598685574821738E-2</v>
      </c>
      <c r="AH6" s="132">
        <f t="shared" si="5"/>
        <v>0.57487459427559751</v>
      </c>
      <c r="AI6" s="132">
        <f t="shared" si="14"/>
        <v>0.50672409810681562</v>
      </c>
      <c r="AJ6" s="132">
        <f t="shared" si="15"/>
        <v>0.50873061525454477</v>
      </c>
      <c r="AK6" s="132">
        <f t="shared" si="16"/>
        <v>0.49211804726431452</v>
      </c>
      <c r="AL6" s="132">
        <f t="shared" si="17"/>
        <v>0.46157598856598381</v>
      </c>
      <c r="AM6" s="132">
        <f t="shared" si="18"/>
        <v>0.46594324914250079</v>
      </c>
      <c r="AN6" s="132">
        <f t="shared" si="18"/>
        <v>0.4585848856697039</v>
      </c>
      <c r="AO6" s="132">
        <f t="shared" si="7"/>
        <v>0.45069197311190196</v>
      </c>
      <c r="AP6" s="132">
        <f t="shared" si="8"/>
        <v>0.44181364374700616</v>
      </c>
    </row>
    <row r="7" spans="1:42" x14ac:dyDescent="0.3">
      <c r="A7" s="7" t="s">
        <v>30</v>
      </c>
      <c r="B7" s="8" t="s">
        <v>33</v>
      </c>
      <c r="C7" s="9"/>
      <c r="D7" s="202" t="s">
        <v>34</v>
      </c>
      <c r="E7" s="202"/>
      <c r="F7" s="202"/>
      <c r="G7" s="202"/>
      <c r="H7" s="159" t="s">
        <v>35</v>
      </c>
      <c r="I7" s="160">
        <v>72</v>
      </c>
      <c r="J7" s="160">
        <v>0</v>
      </c>
      <c r="K7" s="160">
        <v>103</v>
      </c>
      <c r="L7" s="160">
        <v>92</v>
      </c>
      <c r="M7" s="160">
        <v>82</v>
      </c>
      <c r="N7" s="160">
        <v>71</v>
      </c>
      <c r="O7" s="160">
        <v>60</v>
      </c>
      <c r="P7" s="50">
        <v>50</v>
      </c>
      <c r="Q7" s="50">
        <v>39</v>
      </c>
      <c r="R7" s="160">
        <f t="shared" si="9"/>
        <v>-72</v>
      </c>
      <c r="S7" s="160">
        <f t="shared" si="10"/>
        <v>103</v>
      </c>
      <c r="T7" s="160">
        <f t="shared" si="11"/>
        <v>-11</v>
      </c>
      <c r="U7" s="160">
        <f t="shared" si="12"/>
        <v>-10</v>
      </c>
      <c r="V7" s="160">
        <f t="shared" si="13"/>
        <v>-11</v>
      </c>
      <c r="W7" s="160">
        <f t="shared" si="13"/>
        <v>-11</v>
      </c>
      <c r="X7" s="160">
        <f t="shared" si="1"/>
        <v>-10</v>
      </c>
      <c r="Y7" s="160">
        <f t="shared" si="2"/>
        <v>-11</v>
      </c>
      <c r="Z7" s="161">
        <f t="shared" si="19"/>
        <v>-1</v>
      </c>
      <c r="AA7" s="161">
        <v>1</v>
      </c>
      <c r="AB7" s="161">
        <f t="shared" si="21"/>
        <v>-0.10679611650485436</v>
      </c>
      <c r="AC7" s="161">
        <f t="shared" si="22"/>
        <v>-0.10869565217391304</v>
      </c>
      <c r="AD7" s="161">
        <f t="shared" si="23"/>
        <v>-0.13414634146341464</v>
      </c>
      <c r="AE7" s="161">
        <f t="shared" si="23"/>
        <v>-0.15492957746478872</v>
      </c>
      <c r="AF7" s="161">
        <f t="shared" si="24"/>
        <v>-0.16666666666666666</v>
      </c>
      <c r="AG7" s="161">
        <f t="shared" si="25"/>
        <v>-0.22</v>
      </c>
      <c r="AH7" s="161">
        <f t="shared" si="5"/>
        <v>2.9507229271171436E-4</v>
      </c>
      <c r="AI7" s="161">
        <f t="shared" si="14"/>
        <v>0</v>
      </c>
      <c r="AJ7" s="161">
        <f t="shared" si="15"/>
        <v>3.9763580420876265E-4</v>
      </c>
      <c r="AK7" s="161">
        <f t="shared" si="16"/>
        <v>3.6013888834520098E-4</v>
      </c>
      <c r="AL7" s="161">
        <f t="shared" si="17"/>
        <v>3.1252977608384945E-4</v>
      </c>
      <c r="AM7" s="161">
        <f t="shared" si="18"/>
        <v>2.9518761043550567E-4</v>
      </c>
      <c r="AN7" s="161">
        <f t="shared" si="18"/>
        <v>2.3116487834948276E-4</v>
      </c>
      <c r="AO7" s="161">
        <f t="shared" si="7"/>
        <v>1.7973327581868507E-4</v>
      </c>
      <c r="AP7" s="161">
        <f t="shared" si="8"/>
        <v>1.4046410781880852E-4</v>
      </c>
    </row>
    <row r="8" spans="1:42" x14ac:dyDescent="0.3">
      <c r="A8" s="7" t="s">
        <v>30</v>
      </c>
      <c r="B8" s="8" t="s">
        <v>36</v>
      </c>
      <c r="C8" s="9"/>
      <c r="D8" s="202" t="s">
        <v>37</v>
      </c>
      <c r="E8" s="202"/>
      <c r="F8" s="202"/>
      <c r="G8" s="202"/>
      <c r="H8" s="159" t="s">
        <v>38</v>
      </c>
      <c r="I8" s="160">
        <v>140019</v>
      </c>
      <c r="J8" s="160">
        <v>118286</v>
      </c>
      <c r="K8" s="160">
        <v>131674</v>
      </c>
      <c r="L8" s="160">
        <v>125623</v>
      </c>
      <c r="M8" s="160">
        <v>121024</v>
      </c>
      <c r="N8" s="160">
        <v>112000</v>
      </c>
      <c r="O8" s="160">
        <v>118968</v>
      </c>
      <c r="P8" s="50">
        <v>125328</v>
      </c>
      <c r="Q8" s="50">
        <v>122631</v>
      </c>
      <c r="R8" s="160">
        <f t="shared" si="9"/>
        <v>-21733</v>
      </c>
      <c r="S8" s="160">
        <f t="shared" si="10"/>
        <v>13388</v>
      </c>
      <c r="T8" s="160">
        <f t="shared" si="11"/>
        <v>-6051</v>
      </c>
      <c r="U8" s="160">
        <f t="shared" si="12"/>
        <v>-4599</v>
      </c>
      <c r="V8" s="160">
        <f t="shared" si="13"/>
        <v>-9024</v>
      </c>
      <c r="W8" s="160">
        <f t="shared" si="13"/>
        <v>6968</v>
      </c>
      <c r="X8" s="160">
        <f t="shared" si="1"/>
        <v>6360</v>
      </c>
      <c r="Y8" s="160">
        <f t="shared" si="2"/>
        <v>-2697</v>
      </c>
      <c r="Z8" s="161">
        <f t="shared" si="19"/>
        <v>-0.15521464944043309</v>
      </c>
      <c r="AA8" s="161">
        <f t="shared" si="20"/>
        <v>0.11318330148960992</v>
      </c>
      <c r="AB8" s="161">
        <f t="shared" si="21"/>
        <v>-4.5954402539605387E-2</v>
      </c>
      <c r="AC8" s="161">
        <f t="shared" si="22"/>
        <v>-3.6609538062297511E-2</v>
      </c>
      <c r="AD8" s="161">
        <f t="shared" si="23"/>
        <v>-7.4563722897937598E-2</v>
      </c>
      <c r="AE8" s="161">
        <f t="shared" si="23"/>
        <v>6.2214285714285715E-2</v>
      </c>
      <c r="AF8" s="161">
        <f t="shared" si="24"/>
        <v>5.3459753883397215E-2</v>
      </c>
      <c r="AG8" s="161">
        <f t="shared" si="25"/>
        <v>-2.15195327460743E-2</v>
      </c>
      <c r="AH8" s="161">
        <f t="shared" si="5"/>
        <v>0.5738295465722435</v>
      </c>
      <c r="AI8" s="161">
        <f t="shared" si="14"/>
        <v>0.50595844062518713</v>
      </c>
      <c r="AJ8" s="161">
        <f t="shared" si="15"/>
        <v>0.50833297945033606</v>
      </c>
      <c r="AK8" s="161">
        <f t="shared" si="16"/>
        <v>0.49175790837596933</v>
      </c>
      <c r="AL8" s="161">
        <f t="shared" si="17"/>
        <v>0.46126345878989994</v>
      </c>
      <c r="AM8" s="161">
        <f t="shared" si="18"/>
        <v>0.46564806153206528</v>
      </c>
      <c r="AN8" s="161">
        <f t="shared" si="18"/>
        <v>0.45835372079135445</v>
      </c>
      <c r="AO8" s="161">
        <f t="shared" si="7"/>
        <v>0.45051223983608324</v>
      </c>
      <c r="AP8" s="161">
        <f t="shared" si="8"/>
        <v>0.44167317963918734</v>
      </c>
    </row>
    <row r="9" spans="1:42" x14ac:dyDescent="0.3">
      <c r="A9" s="10" t="s">
        <v>39</v>
      </c>
      <c r="B9" s="187"/>
      <c r="C9" s="188"/>
      <c r="D9" s="189" t="s">
        <v>40</v>
      </c>
      <c r="E9" s="189"/>
      <c r="F9" s="189"/>
      <c r="G9" s="189"/>
      <c r="H9" s="63" t="s">
        <v>41</v>
      </c>
      <c r="I9" s="49">
        <v>102524</v>
      </c>
      <c r="J9" s="49">
        <v>114252</v>
      </c>
      <c r="K9" s="49">
        <v>126403</v>
      </c>
      <c r="L9" s="49">
        <v>129070</v>
      </c>
      <c r="M9" s="49">
        <v>140850</v>
      </c>
      <c r="N9" s="49">
        <v>128285</v>
      </c>
      <c r="O9" s="49">
        <v>140433</v>
      </c>
      <c r="P9" s="49">
        <v>152676</v>
      </c>
      <c r="Q9" s="49">
        <v>154879</v>
      </c>
      <c r="R9" s="49">
        <f t="shared" si="9"/>
        <v>11728</v>
      </c>
      <c r="S9" s="49">
        <f t="shared" si="10"/>
        <v>12151</v>
      </c>
      <c r="T9" s="49">
        <f t="shared" si="11"/>
        <v>2667</v>
      </c>
      <c r="U9" s="49">
        <f t="shared" si="12"/>
        <v>11780</v>
      </c>
      <c r="V9" s="49">
        <f t="shared" si="13"/>
        <v>-12565</v>
      </c>
      <c r="W9" s="49">
        <f t="shared" si="13"/>
        <v>12148</v>
      </c>
      <c r="X9" s="49">
        <f t="shared" si="1"/>
        <v>12243</v>
      </c>
      <c r="Y9" s="49">
        <f t="shared" si="2"/>
        <v>2203</v>
      </c>
      <c r="Z9" s="132">
        <f t="shared" si="19"/>
        <v>0.11439272755647459</v>
      </c>
      <c r="AA9" s="132">
        <f t="shared" si="20"/>
        <v>0.1063526240240871</v>
      </c>
      <c r="AB9" s="132">
        <f t="shared" si="21"/>
        <v>2.1099182772560777E-2</v>
      </c>
      <c r="AC9" s="132">
        <f t="shared" si="22"/>
        <v>9.1268304021073832E-2</v>
      </c>
      <c r="AD9" s="132">
        <f t="shared" si="23"/>
        <v>-8.9208377706780265E-2</v>
      </c>
      <c r="AE9" s="132">
        <f t="shared" si="23"/>
        <v>9.4695404762832752E-2</v>
      </c>
      <c r="AF9" s="132">
        <f t="shared" si="24"/>
        <v>8.7180363589754548E-2</v>
      </c>
      <c r="AG9" s="132">
        <f t="shared" si="25"/>
        <v>1.4429248866881501E-2</v>
      </c>
      <c r="AH9" s="132">
        <f t="shared" si="5"/>
        <v>0.42016655191633062</v>
      </c>
      <c r="AI9" s="132">
        <f t="shared" si="14"/>
        <v>0.48870334408390581</v>
      </c>
      <c r="AJ9" s="132">
        <f t="shared" si="15"/>
        <v>0.48798406368349734</v>
      </c>
      <c r="AK9" s="132">
        <f t="shared" si="16"/>
        <v>0.50525137302951184</v>
      </c>
      <c r="AL9" s="132">
        <f t="shared" si="17"/>
        <v>0.5368270605050024</v>
      </c>
      <c r="AM9" s="132">
        <f t="shared" si="18"/>
        <v>0.53335412119322312</v>
      </c>
      <c r="AN9" s="132">
        <f t="shared" si="18"/>
        <v>0.54105295602088188</v>
      </c>
      <c r="AO9" s="132">
        <f t="shared" si="7"/>
        <v>0.54881915237787127</v>
      </c>
      <c r="AP9" s="132">
        <f t="shared" si="8"/>
        <v>0.55781898858639078</v>
      </c>
    </row>
    <row r="10" spans="1:42" x14ac:dyDescent="0.3">
      <c r="A10" s="11" t="s">
        <v>39</v>
      </c>
      <c r="B10" s="12" t="s">
        <v>33</v>
      </c>
      <c r="C10" s="9"/>
      <c r="D10" s="185" t="s">
        <v>42</v>
      </c>
      <c r="E10" s="185"/>
      <c r="F10" s="185"/>
      <c r="G10" s="185"/>
      <c r="H10" s="64" t="s">
        <v>43</v>
      </c>
      <c r="I10" s="50">
        <v>82586</v>
      </c>
      <c r="J10" s="50">
        <v>98849</v>
      </c>
      <c r="K10" s="50">
        <v>103785</v>
      </c>
      <c r="L10" s="50">
        <v>100593</v>
      </c>
      <c r="M10" s="50">
        <v>112399</v>
      </c>
      <c r="N10" s="50">
        <v>104204</v>
      </c>
      <c r="O10" s="50">
        <v>109788</v>
      </c>
      <c r="P10" s="50">
        <v>125821</v>
      </c>
      <c r="Q10" s="50">
        <v>135930</v>
      </c>
      <c r="R10" s="50">
        <f t="shared" si="9"/>
        <v>16263</v>
      </c>
      <c r="S10" s="50">
        <f t="shared" si="10"/>
        <v>4936</v>
      </c>
      <c r="T10" s="50">
        <f t="shared" si="11"/>
        <v>-3192</v>
      </c>
      <c r="U10" s="50">
        <f t="shared" si="12"/>
        <v>11806</v>
      </c>
      <c r="V10" s="50">
        <f t="shared" si="13"/>
        <v>-8195</v>
      </c>
      <c r="W10" s="50">
        <f t="shared" si="13"/>
        <v>5584</v>
      </c>
      <c r="X10" s="50">
        <f t="shared" si="1"/>
        <v>16033</v>
      </c>
      <c r="Y10" s="50">
        <f t="shared" si="2"/>
        <v>10109</v>
      </c>
      <c r="Z10" s="133">
        <f t="shared" si="19"/>
        <v>0.19692199646429176</v>
      </c>
      <c r="AA10" s="133">
        <f t="shared" si="20"/>
        <v>4.993474896053577E-2</v>
      </c>
      <c r="AB10" s="133">
        <f t="shared" si="21"/>
        <v>-3.075588957941899E-2</v>
      </c>
      <c r="AC10" s="133">
        <f t="shared" si="22"/>
        <v>0.11736403129442406</v>
      </c>
      <c r="AD10" s="133">
        <f t="shared" si="23"/>
        <v>-7.2909901333641752E-2</v>
      </c>
      <c r="AE10" s="133">
        <f t="shared" si="23"/>
        <v>5.358719434954512E-2</v>
      </c>
      <c r="AF10" s="133">
        <f t="shared" si="24"/>
        <v>0.14603599664808539</v>
      </c>
      <c r="AG10" s="133">
        <f t="shared" si="25"/>
        <v>8.0344298646489856E-2</v>
      </c>
      <c r="AH10" s="133">
        <f t="shared" si="5"/>
        <v>0.33845611619291172</v>
      </c>
      <c r="AI10" s="133">
        <f t="shared" si="14"/>
        <v>0.42281830391896863</v>
      </c>
      <c r="AJ10" s="133">
        <f t="shared" si="15"/>
        <v>0.40066632951268383</v>
      </c>
      <c r="AK10" s="133">
        <f t="shared" si="16"/>
        <v>0.39377664342726953</v>
      </c>
      <c r="AL10" s="133">
        <f t="shared" si="17"/>
        <v>0.4283906622201048</v>
      </c>
      <c r="AM10" s="133">
        <f t="shared" si="18"/>
        <v>0.43323563039185115</v>
      </c>
      <c r="AN10" s="133">
        <f t="shared" si="18"/>
        <v>0.42298549440388356</v>
      </c>
      <c r="AO10" s="133">
        <f t="shared" si="7"/>
        <v>0.4522844099356555</v>
      </c>
      <c r="AP10" s="133">
        <f t="shared" si="8"/>
        <v>0.48957144040540101</v>
      </c>
    </row>
    <row r="11" spans="1:42" x14ac:dyDescent="0.3">
      <c r="A11" s="18" t="s">
        <v>39</v>
      </c>
      <c r="B11" s="19" t="s">
        <v>36</v>
      </c>
      <c r="C11" s="59"/>
      <c r="D11" s="185" t="s">
        <v>44</v>
      </c>
      <c r="E11" s="185"/>
      <c r="F11" s="185"/>
      <c r="G11" s="185"/>
      <c r="H11" s="64" t="s">
        <v>45</v>
      </c>
      <c r="I11" s="50">
        <f t="shared" ref="I11:N11" si="26">I12+I13</f>
        <v>18203</v>
      </c>
      <c r="J11" s="50">
        <f t="shared" si="26"/>
        <v>14017</v>
      </c>
      <c r="K11" s="50">
        <f t="shared" si="26"/>
        <v>20740</v>
      </c>
      <c r="L11" s="50">
        <f t="shared" si="26"/>
        <v>26670</v>
      </c>
      <c r="M11" s="50">
        <f t="shared" si="26"/>
        <v>26903</v>
      </c>
      <c r="N11" s="50">
        <f t="shared" si="26"/>
        <v>19409</v>
      </c>
      <c r="O11" s="50">
        <v>22789</v>
      </c>
      <c r="P11" s="50">
        <v>26230</v>
      </c>
      <c r="Q11" s="50">
        <v>18314</v>
      </c>
      <c r="R11" s="50">
        <f t="shared" si="9"/>
        <v>-4186</v>
      </c>
      <c r="S11" s="50">
        <f t="shared" si="10"/>
        <v>6723</v>
      </c>
      <c r="T11" s="50">
        <f t="shared" si="11"/>
        <v>5930</v>
      </c>
      <c r="U11" s="50">
        <f t="shared" si="12"/>
        <v>233</v>
      </c>
      <c r="V11" s="50">
        <f t="shared" si="13"/>
        <v>-7494</v>
      </c>
      <c r="W11" s="50">
        <f t="shared" si="13"/>
        <v>3380</v>
      </c>
      <c r="X11" s="50">
        <f t="shared" si="1"/>
        <v>3441</v>
      </c>
      <c r="Y11" s="50">
        <f t="shared" si="2"/>
        <v>-7916</v>
      </c>
      <c r="Z11" s="133">
        <f t="shared" si="19"/>
        <v>-0.22996209416030325</v>
      </c>
      <c r="AA11" s="133">
        <f t="shared" si="20"/>
        <v>0.47963187557965326</v>
      </c>
      <c r="AB11" s="133">
        <f t="shared" si="21"/>
        <v>0.28592092574734812</v>
      </c>
      <c r="AC11" s="133">
        <f t="shared" si="22"/>
        <v>8.7364079490063733E-3</v>
      </c>
      <c r="AD11" s="133">
        <f t="shared" si="23"/>
        <v>-0.278556294837007</v>
      </c>
      <c r="AE11" s="133">
        <f t="shared" si="23"/>
        <v>0.17414601473543201</v>
      </c>
      <c r="AF11" s="133">
        <f t="shared" si="24"/>
        <v>0.15099390056606257</v>
      </c>
      <c r="AG11" s="133">
        <f t="shared" si="25"/>
        <v>-0.30179184140297372</v>
      </c>
      <c r="AH11" s="133">
        <f t="shared" si="5"/>
        <v>7.4600013114324126E-2</v>
      </c>
      <c r="AI11" s="133">
        <f t="shared" si="14"/>
        <v>5.9956541452439407E-2</v>
      </c>
      <c r="AJ11" s="133">
        <f t="shared" si="15"/>
        <v>8.0067636692133376E-2</v>
      </c>
      <c r="AK11" s="133">
        <f t="shared" si="16"/>
        <v>0.1044011320887664</v>
      </c>
      <c r="AL11" s="133">
        <f t="shared" si="17"/>
        <v>0.10253644592663173</v>
      </c>
      <c r="AM11" s="133">
        <f t="shared" si="18"/>
        <v>8.0694314520320137E-2</v>
      </c>
      <c r="AN11" s="133">
        <f t="shared" si="18"/>
        <v>8.7800273545106042E-2</v>
      </c>
      <c r="AO11" s="133">
        <f t="shared" si="7"/>
        <v>9.428807649448219E-2</v>
      </c>
      <c r="AP11" s="133">
        <f t="shared" si="8"/>
        <v>6.5960504374196385E-2</v>
      </c>
    </row>
    <row r="12" spans="1:42" x14ac:dyDescent="0.3">
      <c r="A12" s="14" t="s">
        <v>39</v>
      </c>
      <c r="B12" s="15" t="s">
        <v>36</v>
      </c>
      <c r="C12" s="60">
        <v>1</v>
      </c>
      <c r="D12" s="186" t="s">
        <v>46</v>
      </c>
      <c r="E12" s="186"/>
      <c r="F12" s="186"/>
      <c r="G12" s="186"/>
      <c r="H12" s="159" t="s">
        <v>47</v>
      </c>
      <c r="I12" s="162">
        <v>0</v>
      </c>
      <c r="J12" s="162">
        <v>0</v>
      </c>
      <c r="K12" s="162">
        <v>0</v>
      </c>
      <c r="L12" s="162">
        <v>8978</v>
      </c>
      <c r="M12" s="162">
        <v>9154</v>
      </c>
      <c r="N12" s="162">
        <v>0</v>
      </c>
      <c r="O12" s="162">
        <v>0</v>
      </c>
      <c r="P12" s="55">
        <v>6781</v>
      </c>
      <c r="Q12" s="55">
        <v>0</v>
      </c>
      <c r="R12" s="162">
        <f t="shared" si="9"/>
        <v>0</v>
      </c>
      <c r="S12" s="162">
        <f t="shared" si="10"/>
        <v>0</v>
      </c>
      <c r="T12" s="162">
        <f t="shared" si="11"/>
        <v>8978</v>
      </c>
      <c r="U12" s="162">
        <f t="shared" si="12"/>
        <v>176</v>
      </c>
      <c r="V12" s="162">
        <f t="shared" si="13"/>
        <v>-9154</v>
      </c>
      <c r="W12" s="162">
        <f t="shared" si="13"/>
        <v>0</v>
      </c>
      <c r="X12" s="162">
        <f t="shared" si="1"/>
        <v>6781</v>
      </c>
      <c r="Y12" s="162">
        <f t="shared" si="2"/>
        <v>-6781</v>
      </c>
      <c r="Z12" s="163">
        <v>0</v>
      </c>
      <c r="AA12" s="163">
        <v>0</v>
      </c>
      <c r="AB12" s="163">
        <v>1</v>
      </c>
      <c r="AC12" s="163">
        <f t="shared" si="22"/>
        <v>1.9603475161505905E-2</v>
      </c>
      <c r="AD12" s="163">
        <f>(N12-M12)/M12</f>
        <v>-1</v>
      </c>
      <c r="AE12" s="163">
        <v>0</v>
      </c>
      <c r="AF12" s="163">
        <v>1</v>
      </c>
      <c r="AG12" s="163">
        <f>(Q12-P12)/P12</f>
        <v>-1</v>
      </c>
      <c r="AH12" s="163">
        <f t="shared" si="5"/>
        <v>0</v>
      </c>
      <c r="AI12" s="163">
        <f t="shared" si="14"/>
        <v>0</v>
      </c>
      <c r="AJ12" s="163">
        <f t="shared" si="15"/>
        <v>0</v>
      </c>
      <c r="AK12" s="163">
        <f t="shared" si="16"/>
        <v>3.5144858038730589E-2</v>
      </c>
      <c r="AL12" s="163">
        <f t="shared" si="17"/>
        <v>3.4888994759409243E-2</v>
      </c>
      <c r="AM12" s="163">
        <f t="shared" si="18"/>
        <v>0</v>
      </c>
      <c r="AN12" s="163">
        <f t="shared" si="18"/>
        <v>0</v>
      </c>
      <c r="AO12" s="163">
        <f t="shared" si="7"/>
        <v>2.4375426866530069E-2</v>
      </c>
      <c r="AP12" s="163">
        <f t="shared" si="8"/>
        <v>0</v>
      </c>
    </row>
    <row r="13" spans="1:42" ht="14.25" customHeight="1" x14ac:dyDescent="0.3">
      <c r="A13" s="14" t="s">
        <v>39</v>
      </c>
      <c r="B13" s="15" t="s">
        <v>36</v>
      </c>
      <c r="C13" s="60" t="s">
        <v>29</v>
      </c>
      <c r="D13" s="184" t="s">
        <v>48</v>
      </c>
      <c r="E13" s="184"/>
      <c r="F13" s="184"/>
      <c r="G13" s="184"/>
      <c r="H13" s="159" t="s">
        <v>49</v>
      </c>
      <c r="I13" s="162">
        <v>18203</v>
      </c>
      <c r="J13" s="162">
        <v>14017</v>
      </c>
      <c r="K13" s="162">
        <v>20740</v>
      </c>
      <c r="L13" s="162">
        <v>17692</v>
      </c>
      <c r="M13" s="162">
        <v>17749</v>
      </c>
      <c r="N13" s="162">
        <v>19409</v>
      </c>
      <c r="O13" s="162">
        <v>22789</v>
      </c>
      <c r="P13" s="55">
        <v>19449</v>
      </c>
      <c r="Q13" s="55">
        <v>18314</v>
      </c>
      <c r="R13" s="162">
        <f t="shared" si="9"/>
        <v>-4186</v>
      </c>
      <c r="S13" s="162">
        <f t="shared" si="10"/>
        <v>6723</v>
      </c>
      <c r="T13" s="162">
        <f t="shared" si="11"/>
        <v>-3048</v>
      </c>
      <c r="U13" s="162">
        <f t="shared" si="12"/>
        <v>57</v>
      </c>
      <c r="V13" s="162">
        <f t="shared" si="13"/>
        <v>1660</v>
      </c>
      <c r="W13" s="162">
        <f t="shared" si="13"/>
        <v>3380</v>
      </c>
      <c r="X13" s="162">
        <f t="shared" si="1"/>
        <v>-3340</v>
      </c>
      <c r="Y13" s="162">
        <f t="shared" si="2"/>
        <v>-1135</v>
      </c>
      <c r="Z13" s="163">
        <f t="shared" si="19"/>
        <v>-0.22996209416030325</v>
      </c>
      <c r="AA13" s="163">
        <f t="shared" si="20"/>
        <v>0.47963187557965326</v>
      </c>
      <c r="AB13" s="163">
        <f t="shared" si="21"/>
        <v>-0.14696239151398263</v>
      </c>
      <c r="AC13" s="163">
        <f t="shared" si="22"/>
        <v>3.2217951616549854E-3</v>
      </c>
      <c r="AD13" s="163">
        <f>(N13-M13)/M13</f>
        <v>9.3526395853287508E-2</v>
      </c>
      <c r="AE13" s="163">
        <f>(O13-N13)/N13</f>
        <v>0.17414601473543201</v>
      </c>
      <c r="AF13" s="163">
        <f>(P13-O13)/O13</f>
        <v>-0.14656193777699766</v>
      </c>
      <c r="AG13" s="163">
        <f>(Q13-P13)/P13</f>
        <v>-5.8357756182837166E-2</v>
      </c>
      <c r="AH13" s="163">
        <f t="shared" si="5"/>
        <v>7.4600013114324126E-2</v>
      </c>
      <c r="AI13" s="163">
        <f t="shared" si="14"/>
        <v>5.9956541452439407E-2</v>
      </c>
      <c r="AJ13" s="163">
        <f t="shared" si="15"/>
        <v>8.0067636692133376E-2</v>
      </c>
      <c r="AK13" s="163">
        <f t="shared" si="16"/>
        <v>6.9256274050035815E-2</v>
      </c>
      <c r="AL13" s="163">
        <f t="shared" si="17"/>
        <v>6.7647451167222483E-2</v>
      </c>
      <c r="AM13" s="163">
        <f t="shared" si="18"/>
        <v>8.0694314520320137E-2</v>
      </c>
      <c r="AN13" s="163">
        <f t="shared" si="18"/>
        <v>8.7800273545106042E-2</v>
      </c>
      <c r="AO13" s="163">
        <f t="shared" si="7"/>
        <v>6.9912649627952114E-2</v>
      </c>
      <c r="AP13" s="163">
        <f t="shared" si="8"/>
        <v>6.5960504374196385E-2</v>
      </c>
    </row>
    <row r="14" spans="1:42" x14ac:dyDescent="0.3">
      <c r="A14" s="11" t="s">
        <v>39</v>
      </c>
      <c r="B14" s="12" t="s">
        <v>50</v>
      </c>
      <c r="C14" s="9"/>
      <c r="D14" s="179" t="s">
        <v>51</v>
      </c>
      <c r="E14" s="179"/>
      <c r="F14" s="179"/>
      <c r="G14" s="179"/>
      <c r="H14" s="64" t="s">
        <v>52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/>
      <c r="R14" s="50">
        <f t="shared" si="9"/>
        <v>0</v>
      </c>
      <c r="S14" s="50">
        <f t="shared" si="10"/>
        <v>0</v>
      </c>
      <c r="T14" s="50">
        <f t="shared" si="11"/>
        <v>0</v>
      </c>
      <c r="U14" s="50">
        <f t="shared" si="12"/>
        <v>0</v>
      </c>
      <c r="V14" s="50">
        <f t="shared" si="13"/>
        <v>0</v>
      </c>
      <c r="W14" s="50">
        <f t="shared" si="13"/>
        <v>0</v>
      </c>
      <c r="X14" s="50">
        <f t="shared" si="1"/>
        <v>0</v>
      </c>
      <c r="Y14" s="50">
        <f t="shared" si="2"/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f t="shared" si="5"/>
        <v>0</v>
      </c>
      <c r="AI14" s="133">
        <f t="shared" si="14"/>
        <v>0</v>
      </c>
      <c r="AJ14" s="133">
        <f t="shared" si="15"/>
        <v>0</v>
      </c>
      <c r="AK14" s="133">
        <f t="shared" si="16"/>
        <v>0</v>
      </c>
      <c r="AL14" s="133">
        <f t="shared" si="17"/>
        <v>0</v>
      </c>
      <c r="AM14" s="133">
        <f t="shared" si="18"/>
        <v>0</v>
      </c>
      <c r="AN14" s="133">
        <f t="shared" si="18"/>
        <v>0</v>
      </c>
      <c r="AO14" s="133">
        <f t="shared" si="7"/>
        <v>0</v>
      </c>
      <c r="AP14" s="133">
        <f t="shared" si="8"/>
        <v>0</v>
      </c>
    </row>
    <row r="15" spans="1:42" x14ac:dyDescent="0.3">
      <c r="A15" s="11" t="s">
        <v>39</v>
      </c>
      <c r="B15" s="12" t="s">
        <v>53</v>
      </c>
      <c r="C15" s="9"/>
      <c r="D15" s="179" t="s">
        <v>54</v>
      </c>
      <c r="E15" s="179"/>
      <c r="F15" s="179"/>
      <c r="G15" s="179"/>
      <c r="H15" s="64" t="s">
        <v>55</v>
      </c>
      <c r="I15" s="50">
        <v>1735</v>
      </c>
      <c r="J15" s="50">
        <v>1386</v>
      </c>
      <c r="K15" s="50">
        <v>1878</v>
      </c>
      <c r="L15" s="50">
        <v>1807</v>
      </c>
      <c r="M15" s="50">
        <v>1548</v>
      </c>
      <c r="N15" s="50">
        <v>4672</v>
      </c>
      <c r="O15" s="50">
        <v>7478</v>
      </c>
      <c r="P15" s="50">
        <v>625</v>
      </c>
      <c r="Q15" s="50">
        <v>635</v>
      </c>
      <c r="R15" s="50">
        <f t="shared" si="9"/>
        <v>-349</v>
      </c>
      <c r="S15" s="50">
        <f t="shared" si="10"/>
        <v>492</v>
      </c>
      <c r="T15" s="50">
        <f t="shared" si="11"/>
        <v>-71</v>
      </c>
      <c r="U15" s="50">
        <f t="shared" si="12"/>
        <v>-259</v>
      </c>
      <c r="V15" s="50">
        <f t="shared" si="13"/>
        <v>3124</v>
      </c>
      <c r="W15" s="50">
        <f t="shared" si="13"/>
        <v>2806</v>
      </c>
      <c r="X15" s="50">
        <f t="shared" si="1"/>
        <v>-6853</v>
      </c>
      <c r="Y15" s="50">
        <f t="shared" si="2"/>
        <v>10</v>
      </c>
      <c r="Z15" s="133">
        <f t="shared" si="19"/>
        <v>-0.20115273775216139</v>
      </c>
      <c r="AA15" s="133">
        <f t="shared" si="20"/>
        <v>0.354978354978355</v>
      </c>
      <c r="AB15" s="133">
        <f t="shared" si="21"/>
        <v>-3.7806176783812567E-2</v>
      </c>
      <c r="AC15" s="133">
        <f t="shared" si="22"/>
        <v>-0.14333148865522966</v>
      </c>
      <c r="AD15" s="133">
        <f>(N15-M15)/M15</f>
        <v>2.0180878552971575</v>
      </c>
      <c r="AE15" s="133">
        <f>(O15-N15)/N15</f>
        <v>0.60059931506849318</v>
      </c>
      <c r="AF15" s="133">
        <f>(P15-O15)/O15</f>
        <v>-0.9164215030756887</v>
      </c>
      <c r="AG15" s="133">
        <f>(Q15-P15)/P15</f>
        <v>1.6E-2</v>
      </c>
      <c r="AH15" s="133">
        <f t="shared" si="5"/>
        <v>7.1104226090947841E-3</v>
      </c>
      <c r="AI15" s="133">
        <f t="shared" si="14"/>
        <v>5.9284987124977543E-3</v>
      </c>
      <c r="AJ15" s="133">
        <f t="shared" si="15"/>
        <v>7.2500974786801576E-3</v>
      </c>
      <c r="AK15" s="133">
        <f t="shared" si="16"/>
        <v>7.0735975134758496E-3</v>
      </c>
      <c r="AL15" s="133">
        <f t="shared" si="17"/>
        <v>5.8999523582658406E-3</v>
      </c>
      <c r="AM15" s="133">
        <f t="shared" si="18"/>
        <v>1.9424176281051867E-2</v>
      </c>
      <c r="AN15" s="133">
        <f t="shared" si="18"/>
        <v>2.8810849338290537E-2</v>
      </c>
      <c r="AO15" s="133">
        <f t="shared" si="7"/>
        <v>2.2466659477335632E-3</v>
      </c>
      <c r="AP15" s="133">
        <f t="shared" si="8"/>
        <v>2.2870438067934206E-3</v>
      </c>
    </row>
    <row r="16" spans="1:42" x14ac:dyDescent="0.3">
      <c r="A16" s="10" t="s">
        <v>56</v>
      </c>
      <c r="B16" s="20"/>
      <c r="C16" s="61"/>
      <c r="D16" s="180" t="s">
        <v>57</v>
      </c>
      <c r="E16" s="180"/>
      <c r="F16" s="180"/>
      <c r="G16" s="180"/>
      <c r="H16" s="63" t="s">
        <v>58</v>
      </c>
      <c r="I16" s="49">
        <v>1210</v>
      </c>
      <c r="J16" s="49">
        <v>1069</v>
      </c>
      <c r="K16" s="49">
        <v>851</v>
      </c>
      <c r="L16" s="49">
        <v>672</v>
      </c>
      <c r="M16" s="49">
        <v>419</v>
      </c>
      <c r="N16" s="49">
        <v>169</v>
      </c>
      <c r="O16" s="49">
        <v>94</v>
      </c>
      <c r="P16" s="49">
        <v>136</v>
      </c>
      <c r="Q16" s="49">
        <v>102</v>
      </c>
      <c r="R16" s="49">
        <f t="shared" si="9"/>
        <v>-141</v>
      </c>
      <c r="S16" s="49">
        <f t="shared" si="10"/>
        <v>-218</v>
      </c>
      <c r="T16" s="49">
        <f t="shared" si="11"/>
        <v>-179</v>
      </c>
      <c r="U16" s="49">
        <f t="shared" si="12"/>
        <v>-253</v>
      </c>
      <c r="V16" s="49">
        <f t="shared" si="13"/>
        <v>-250</v>
      </c>
      <c r="W16" s="49">
        <f t="shared" si="13"/>
        <v>-75</v>
      </c>
      <c r="X16" s="49">
        <f t="shared" si="1"/>
        <v>42</v>
      </c>
      <c r="Y16" s="49">
        <f t="shared" si="2"/>
        <v>-34</v>
      </c>
      <c r="Z16" s="132">
        <f t="shared" si="19"/>
        <v>-0.11652892561983472</v>
      </c>
      <c r="AA16" s="132">
        <f t="shared" si="20"/>
        <v>-0.20392890551917681</v>
      </c>
      <c r="AB16" s="132">
        <f t="shared" si="21"/>
        <v>-0.21034077555816685</v>
      </c>
      <c r="AC16" s="132">
        <f t="shared" si="22"/>
        <v>-0.37648809523809523</v>
      </c>
      <c r="AD16" s="132">
        <f>(N16-M16)/M16</f>
        <v>-0.59665871121718372</v>
      </c>
      <c r="AE16" s="132">
        <f>(O16-N16)/N16</f>
        <v>-0.4437869822485207</v>
      </c>
      <c r="AF16" s="132">
        <f>(P16-O16)/O16</f>
        <v>0.44680851063829785</v>
      </c>
      <c r="AG16" s="132">
        <f>(Q16-P16)/P16</f>
        <v>-0.25</v>
      </c>
      <c r="AH16" s="132">
        <f t="shared" si="5"/>
        <v>4.9588538080718664E-3</v>
      </c>
      <c r="AI16" s="132">
        <f t="shared" si="14"/>
        <v>4.5725578092785709E-3</v>
      </c>
      <c r="AJ16" s="132">
        <f t="shared" si="15"/>
        <v>3.285321061957835E-3</v>
      </c>
      <c r="AK16" s="132">
        <f t="shared" si="16"/>
        <v>2.6305797061736418E-3</v>
      </c>
      <c r="AL16" s="132">
        <f t="shared" si="17"/>
        <v>1.5969509290138162E-3</v>
      </c>
      <c r="AM16" s="132">
        <f t="shared" si="18"/>
        <v>7.0262966427606273E-4</v>
      </c>
      <c r="AN16" s="132">
        <f t="shared" si="18"/>
        <v>3.6215830941418965E-4</v>
      </c>
      <c r="AO16" s="132">
        <f t="shared" si="7"/>
        <v>4.8887451022682339E-4</v>
      </c>
      <c r="AP16" s="132">
        <f t="shared" si="8"/>
        <v>3.6736766660303764E-4</v>
      </c>
    </row>
    <row r="17" spans="1:42" x14ac:dyDescent="0.3">
      <c r="A17" s="23"/>
      <c r="B17" s="23"/>
      <c r="C17" s="24"/>
      <c r="D17" s="25"/>
      <c r="E17" s="25"/>
      <c r="F17" s="25"/>
      <c r="G17" s="25"/>
      <c r="H17" s="26"/>
      <c r="I17" s="26"/>
      <c r="J17" s="27"/>
      <c r="K17" s="27"/>
      <c r="L17" s="27"/>
      <c r="M17" s="28"/>
    </row>
    <row r="18" spans="1:42" ht="14.4" customHeight="1" x14ac:dyDescent="0.3">
      <c r="A18" s="193" t="s">
        <v>59</v>
      </c>
      <c r="B18" s="193"/>
      <c r="C18" s="193"/>
      <c r="D18" s="193"/>
      <c r="E18" s="193"/>
      <c r="F18" s="193"/>
      <c r="G18" s="193"/>
      <c r="H18" s="29"/>
      <c r="I18" s="177" t="s">
        <v>15</v>
      </c>
      <c r="J18" s="177"/>
      <c r="K18" s="177"/>
      <c r="L18" s="177"/>
      <c r="M18" s="177"/>
      <c r="N18" s="177"/>
      <c r="O18" s="156"/>
      <c r="P18" s="172"/>
      <c r="Q18" s="172"/>
      <c r="R18" s="192" t="s">
        <v>16</v>
      </c>
      <c r="S18" s="192"/>
      <c r="T18" s="192"/>
      <c r="U18" s="192"/>
      <c r="V18" s="192"/>
      <c r="W18" s="156"/>
      <c r="X18" s="172"/>
      <c r="Y18" s="172"/>
      <c r="Z18" s="192" t="s">
        <v>16</v>
      </c>
      <c r="AA18" s="192"/>
      <c r="AB18" s="192"/>
      <c r="AC18" s="192"/>
      <c r="AD18" s="192"/>
      <c r="AE18" s="156"/>
      <c r="AF18" s="172"/>
      <c r="AG18" s="172"/>
      <c r="AH18" s="177" t="s">
        <v>18</v>
      </c>
      <c r="AI18" s="177"/>
      <c r="AJ18" s="177"/>
      <c r="AK18" s="177"/>
      <c r="AL18" s="177"/>
      <c r="AM18" s="177"/>
      <c r="AN18" s="177"/>
    </row>
    <row r="19" spans="1:42" x14ac:dyDescent="0.3">
      <c r="A19" s="193"/>
      <c r="B19" s="193"/>
      <c r="C19" s="193"/>
      <c r="D19" s="193"/>
      <c r="E19" s="193"/>
      <c r="F19" s="193"/>
      <c r="G19" s="193"/>
      <c r="H19" s="29"/>
      <c r="I19" s="177"/>
      <c r="J19" s="177"/>
      <c r="K19" s="177"/>
      <c r="L19" s="177"/>
      <c r="M19" s="177"/>
      <c r="N19" s="177"/>
      <c r="O19" s="156"/>
      <c r="P19" s="172"/>
      <c r="Q19" s="172"/>
      <c r="R19" s="192"/>
      <c r="S19" s="192"/>
      <c r="T19" s="192"/>
      <c r="U19" s="192"/>
      <c r="V19" s="192"/>
      <c r="W19" s="156"/>
      <c r="X19" s="172"/>
      <c r="Y19" s="172"/>
      <c r="Z19" s="192"/>
      <c r="AA19" s="192"/>
      <c r="AB19" s="192"/>
      <c r="AC19" s="192"/>
      <c r="AD19" s="192"/>
      <c r="AE19" s="156"/>
      <c r="AF19" s="172"/>
      <c r="AG19" s="172"/>
      <c r="AH19" s="178"/>
      <c r="AI19" s="178"/>
      <c r="AJ19" s="178"/>
      <c r="AK19" s="178"/>
      <c r="AL19" s="178"/>
      <c r="AM19" s="178"/>
      <c r="AN19" s="178"/>
    </row>
    <row r="20" spans="1:42" x14ac:dyDescent="0.3">
      <c r="A20" s="193"/>
      <c r="B20" s="193"/>
      <c r="C20" s="193"/>
      <c r="D20" s="193"/>
      <c r="E20" s="193"/>
      <c r="F20" s="193"/>
      <c r="G20" s="193"/>
      <c r="H20" s="29"/>
      <c r="I20" s="47">
        <v>2014</v>
      </c>
      <c r="J20" s="47">
        <v>2015</v>
      </c>
      <c r="K20" s="47">
        <v>2016</v>
      </c>
      <c r="L20" s="47">
        <v>2017</v>
      </c>
      <c r="M20" s="47">
        <v>2018</v>
      </c>
      <c r="N20" s="47">
        <v>2019</v>
      </c>
      <c r="O20" s="47">
        <v>2020</v>
      </c>
      <c r="P20" s="47">
        <v>2021</v>
      </c>
      <c r="Q20" s="47">
        <v>2022</v>
      </c>
      <c r="R20" s="47" t="s">
        <v>19</v>
      </c>
      <c r="S20" s="47" t="s">
        <v>20</v>
      </c>
      <c r="T20" s="47" t="s">
        <v>21</v>
      </c>
      <c r="U20" s="47" t="s">
        <v>22</v>
      </c>
      <c r="V20" s="47" t="s">
        <v>23</v>
      </c>
      <c r="W20" s="47" t="s">
        <v>24</v>
      </c>
      <c r="X20" s="47" t="s">
        <v>272</v>
      </c>
      <c r="Y20" s="47" t="s">
        <v>273</v>
      </c>
      <c r="Z20" s="47" t="s">
        <v>19</v>
      </c>
      <c r="AA20" s="47" t="s">
        <v>20</v>
      </c>
      <c r="AB20" s="47" t="s">
        <v>21</v>
      </c>
      <c r="AC20" s="47" t="s">
        <v>22</v>
      </c>
      <c r="AD20" s="47" t="s">
        <v>23</v>
      </c>
      <c r="AE20" s="47" t="s">
        <v>24</v>
      </c>
      <c r="AF20" s="47" t="s">
        <v>272</v>
      </c>
      <c r="AG20" s="47" t="s">
        <v>273</v>
      </c>
      <c r="AH20" s="47">
        <v>2014</v>
      </c>
      <c r="AI20" s="47">
        <v>2015</v>
      </c>
      <c r="AJ20" s="47">
        <v>2016</v>
      </c>
      <c r="AK20" s="47">
        <v>2017</v>
      </c>
      <c r="AL20" s="47">
        <v>2018</v>
      </c>
      <c r="AM20" s="47">
        <v>2019</v>
      </c>
      <c r="AN20" s="47">
        <v>2020</v>
      </c>
      <c r="AO20" s="47">
        <v>2021</v>
      </c>
      <c r="AP20" s="47">
        <v>2022</v>
      </c>
    </row>
    <row r="21" spans="1:42" x14ac:dyDescent="0.3">
      <c r="A21" s="194"/>
      <c r="B21" s="194"/>
      <c r="C21" s="194"/>
      <c r="D21" s="195" t="s">
        <v>60</v>
      </c>
      <c r="E21" s="195"/>
      <c r="F21" s="195"/>
      <c r="G21" s="195"/>
      <c r="H21" s="42" t="s">
        <v>61</v>
      </c>
      <c r="I21" s="48">
        <f t="shared" ref="I21:N21" si="27">I22+I29+I39</f>
        <v>244008</v>
      </c>
      <c r="J21" s="48">
        <f t="shared" si="27"/>
        <v>233786</v>
      </c>
      <c r="K21" s="48">
        <f t="shared" si="27"/>
        <v>259031</v>
      </c>
      <c r="L21" s="48">
        <f t="shared" si="27"/>
        <v>255457</v>
      </c>
      <c r="M21" s="48">
        <f t="shared" si="27"/>
        <v>262375</v>
      </c>
      <c r="N21" s="48">
        <f t="shared" si="27"/>
        <v>240525</v>
      </c>
      <c r="O21" s="48">
        <v>259555</v>
      </c>
      <c r="P21" s="48">
        <v>278190</v>
      </c>
      <c r="Q21" s="48">
        <v>277651</v>
      </c>
      <c r="R21" s="48">
        <f t="shared" ref="R21:W21" si="28">J21-I21</f>
        <v>-10222</v>
      </c>
      <c r="S21" s="48">
        <f t="shared" si="28"/>
        <v>25245</v>
      </c>
      <c r="T21" s="48">
        <f t="shared" si="28"/>
        <v>-3574</v>
      </c>
      <c r="U21" s="48">
        <f t="shared" si="28"/>
        <v>6918</v>
      </c>
      <c r="V21" s="48">
        <f t="shared" si="28"/>
        <v>-21850</v>
      </c>
      <c r="W21" s="48">
        <f t="shared" si="28"/>
        <v>19030</v>
      </c>
      <c r="X21" s="48">
        <f t="shared" ref="X21:X41" si="29">P21-O21</f>
        <v>18635</v>
      </c>
      <c r="Y21" s="48">
        <f t="shared" ref="Y21:Y41" si="30">Q21-P21</f>
        <v>-539</v>
      </c>
      <c r="Z21" s="130">
        <f t="shared" ref="Z21:AE23" si="31">(J21-I21)/I21</f>
        <v>-4.1892069112488113E-2</v>
      </c>
      <c r="AA21" s="130">
        <f t="shared" si="31"/>
        <v>0.1079833694062091</v>
      </c>
      <c r="AB21" s="130">
        <f t="shared" si="31"/>
        <v>-1.3797576351865222E-2</v>
      </c>
      <c r="AC21" s="130">
        <f t="shared" si="31"/>
        <v>2.7080878582305436E-2</v>
      </c>
      <c r="AD21" s="130">
        <f t="shared" si="31"/>
        <v>-8.3277751310147696E-2</v>
      </c>
      <c r="AE21" s="130">
        <f t="shared" si="31"/>
        <v>7.9118594740671441E-2</v>
      </c>
      <c r="AF21" s="130">
        <f t="shared" ref="AF21:AF23" si="32">(P21-O21)/O21</f>
        <v>7.1795958467376852E-2</v>
      </c>
      <c r="AG21" s="130">
        <f t="shared" ref="AG21:AG23" si="33">(Q21-P21)/P21</f>
        <v>-1.9375247133254251E-3</v>
      </c>
      <c r="AH21" s="130">
        <f t="shared" ref="AH21:AN21" si="34">I21/I$4</f>
        <v>1</v>
      </c>
      <c r="AI21" s="130">
        <f t="shared" si="34"/>
        <v>1</v>
      </c>
      <c r="AJ21" s="130">
        <f t="shared" si="34"/>
        <v>1</v>
      </c>
      <c r="AK21" s="130">
        <f t="shared" si="34"/>
        <v>1</v>
      </c>
      <c r="AL21" s="130">
        <f t="shared" si="34"/>
        <v>1</v>
      </c>
      <c r="AM21" s="130">
        <f t="shared" si="34"/>
        <v>1</v>
      </c>
      <c r="AN21" s="130">
        <f t="shared" si="34"/>
        <v>1</v>
      </c>
      <c r="AO21" s="130">
        <f t="shared" ref="AO21:AO41" si="35">P21/P$4</f>
        <v>1</v>
      </c>
      <c r="AP21" s="130">
        <f t="shared" ref="AP21:AP41" si="36">Q21/Q$4</f>
        <v>1</v>
      </c>
    </row>
    <row r="22" spans="1:42" x14ac:dyDescent="0.3">
      <c r="A22" s="10" t="s">
        <v>27</v>
      </c>
      <c r="B22" s="187"/>
      <c r="C22" s="187"/>
      <c r="D22" s="30" t="s">
        <v>62</v>
      </c>
      <c r="E22" s="31"/>
      <c r="F22" s="31"/>
      <c r="G22" s="31"/>
      <c r="H22" s="43" t="s">
        <v>63</v>
      </c>
      <c r="I22" s="49">
        <f t="shared" ref="I22:N22" si="37">I23+I24+I25+I26+I27</f>
        <v>131409</v>
      </c>
      <c r="J22" s="49">
        <f t="shared" si="37"/>
        <v>138841</v>
      </c>
      <c r="K22" s="49">
        <f t="shared" si="37"/>
        <v>147165</v>
      </c>
      <c r="L22" s="49">
        <f t="shared" si="37"/>
        <v>153483</v>
      </c>
      <c r="M22" s="49">
        <f t="shared" si="37"/>
        <v>159256</v>
      </c>
      <c r="N22" s="49">
        <f t="shared" si="37"/>
        <v>160506</v>
      </c>
      <c r="O22" s="49">
        <v>172265</v>
      </c>
      <c r="P22" s="49">
        <v>181589</v>
      </c>
      <c r="Q22" s="49">
        <v>184880</v>
      </c>
      <c r="R22" s="49">
        <f t="shared" ref="R22:R41" si="38">J22-I22</f>
        <v>7432</v>
      </c>
      <c r="S22" s="49">
        <f t="shared" ref="S22:S41" si="39">K22-J22</f>
        <v>8324</v>
      </c>
      <c r="T22" s="49">
        <f t="shared" ref="T22:T41" si="40">L22-K22</f>
        <v>6318</v>
      </c>
      <c r="U22" s="49">
        <f t="shared" ref="U22:U41" si="41">M22-L22</f>
        <v>5773</v>
      </c>
      <c r="V22" s="49">
        <f t="shared" ref="V22:W41" si="42">N22-M22</f>
        <v>1250</v>
      </c>
      <c r="W22" s="49">
        <f t="shared" si="42"/>
        <v>11759</v>
      </c>
      <c r="X22" s="49">
        <f t="shared" si="29"/>
        <v>9324</v>
      </c>
      <c r="Y22" s="49">
        <f t="shared" si="30"/>
        <v>3291</v>
      </c>
      <c r="Z22" s="132">
        <f t="shared" si="31"/>
        <v>5.6556248049981356E-2</v>
      </c>
      <c r="AA22" s="132">
        <f t="shared" si="31"/>
        <v>5.995347195713082E-2</v>
      </c>
      <c r="AB22" s="132">
        <f t="shared" si="31"/>
        <v>4.2931403526653755E-2</v>
      </c>
      <c r="AC22" s="132">
        <f t="shared" si="31"/>
        <v>3.7613286161985365E-2</v>
      </c>
      <c r="AD22" s="132">
        <f t="shared" si="31"/>
        <v>7.8489978399557941E-3</v>
      </c>
      <c r="AE22" s="132">
        <f t="shared" si="31"/>
        <v>7.3262058739237162E-2</v>
      </c>
      <c r="AF22" s="132">
        <f t="shared" si="32"/>
        <v>5.4125910660900355E-2</v>
      </c>
      <c r="AG22" s="132">
        <f t="shared" si="33"/>
        <v>1.8123344475711633E-2</v>
      </c>
      <c r="AH22" s="132">
        <f t="shared" ref="AH22:AH41" si="43">I22/I$4</f>
        <v>0.53854381823546771</v>
      </c>
      <c r="AI22" s="132">
        <f t="shared" ref="AI22:AI41" si="44">J22/J$4</f>
        <v>0.5938807285295099</v>
      </c>
      <c r="AJ22" s="132">
        <f t="shared" ref="AJ22:AJ41" si="45">K22/K$4</f>
        <v>0.56813663229497624</v>
      </c>
      <c r="AK22" s="132">
        <f t="shared" ref="AK22:AK41" si="46">L22/L$4</f>
        <v>0.60081735869441821</v>
      </c>
      <c r="AL22" s="132">
        <f t="shared" ref="AL22:AL41" si="47">M22/M$4</f>
        <v>0.60697856121962834</v>
      </c>
      <c r="AM22" s="132">
        <f t="shared" ref="AM22:AN41" si="48">N22/N$4</f>
        <v>0.66731524789522922</v>
      </c>
      <c r="AN22" s="132">
        <f t="shared" si="48"/>
        <v>0.66369362948122745</v>
      </c>
      <c r="AO22" s="132">
        <f t="shared" si="35"/>
        <v>0.65275171645278407</v>
      </c>
      <c r="AP22" s="132">
        <f t="shared" si="36"/>
        <v>0.66587190393695683</v>
      </c>
    </row>
    <row r="23" spans="1:42" x14ac:dyDescent="0.3">
      <c r="A23" s="164" t="s">
        <v>27</v>
      </c>
      <c r="B23" s="165" t="s">
        <v>33</v>
      </c>
      <c r="C23" s="166"/>
      <c r="D23" s="34" t="s">
        <v>64</v>
      </c>
      <c r="E23" s="35"/>
      <c r="F23" s="35"/>
      <c r="G23" s="35"/>
      <c r="H23" s="167" t="s">
        <v>65</v>
      </c>
      <c r="I23" s="160">
        <v>65750</v>
      </c>
      <c r="J23" s="160">
        <v>65750</v>
      </c>
      <c r="K23" s="160">
        <v>65750</v>
      </c>
      <c r="L23" s="160">
        <v>65750</v>
      </c>
      <c r="M23" s="160">
        <v>65750</v>
      </c>
      <c r="N23" s="160">
        <v>65750</v>
      </c>
      <c r="O23" s="160">
        <v>65750</v>
      </c>
      <c r="P23" s="50">
        <v>65750</v>
      </c>
      <c r="Q23" s="50">
        <v>65750</v>
      </c>
      <c r="R23" s="160">
        <f t="shared" si="38"/>
        <v>0</v>
      </c>
      <c r="S23" s="160">
        <f t="shared" si="39"/>
        <v>0</v>
      </c>
      <c r="T23" s="160">
        <f t="shared" si="40"/>
        <v>0</v>
      </c>
      <c r="U23" s="160">
        <f t="shared" si="41"/>
        <v>0</v>
      </c>
      <c r="V23" s="160">
        <f t="shared" si="42"/>
        <v>0</v>
      </c>
      <c r="W23" s="160">
        <f t="shared" si="42"/>
        <v>0</v>
      </c>
      <c r="X23" s="160">
        <f t="shared" si="29"/>
        <v>0</v>
      </c>
      <c r="Y23" s="160">
        <f t="shared" si="30"/>
        <v>0</v>
      </c>
      <c r="Z23" s="161">
        <f t="shared" si="31"/>
        <v>0</v>
      </c>
      <c r="AA23" s="161">
        <f t="shared" si="31"/>
        <v>0</v>
      </c>
      <c r="AB23" s="161">
        <f t="shared" si="31"/>
        <v>0</v>
      </c>
      <c r="AC23" s="161">
        <f t="shared" si="31"/>
        <v>0</v>
      </c>
      <c r="AD23" s="161">
        <f t="shared" si="31"/>
        <v>0</v>
      </c>
      <c r="AE23" s="161">
        <f t="shared" si="31"/>
        <v>0</v>
      </c>
      <c r="AF23" s="161">
        <f t="shared" si="32"/>
        <v>0</v>
      </c>
      <c r="AG23" s="161">
        <f t="shared" si="33"/>
        <v>0</v>
      </c>
      <c r="AH23" s="161">
        <f t="shared" si="43"/>
        <v>0.26945837841382247</v>
      </c>
      <c r="AI23" s="161">
        <f t="shared" si="44"/>
        <v>0.28124010847527225</v>
      </c>
      <c r="AJ23" s="161">
        <f t="shared" si="45"/>
        <v>0.25383062258957423</v>
      </c>
      <c r="AK23" s="161">
        <f t="shared" si="46"/>
        <v>0.25738186857279305</v>
      </c>
      <c r="AL23" s="161">
        <f t="shared" si="47"/>
        <v>0.25059552167698906</v>
      </c>
      <c r="AM23" s="161">
        <f t="shared" si="48"/>
        <v>0.27336035755119009</v>
      </c>
      <c r="AN23" s="161">
        <f t="shared" si="48"/>
        <v>0.25331817919130822</v>
      </c>
      <c r="AO23" s="161">
        <f t="shared" si="35"/>
        <v>0.23634925770157086</v>
      </c>
      <c r="AP23" s="161">
        <f t="shared" si="36"/>
        <v>0.23680807920735022</v>
      </c>
    </row>
    <row r="24" spans="1:42" x14ac:dyDescent="0.3">
      <c r="A24" s="164" t="s">
        <v>27</v>
      </c>
      <c r="B24" s="165" t="s">
        <v>36</v>
      </c>
      <c r="C24" s="166"/>
      <c r="D24" s="34" t="s">
        <v>66</v>
      </c>
      <c r="E24" s="35"/>
      <c r="F24" s="35"/>
      <c r="G24" s="35"/>
      <c r="H24" s="167" t="s">
        <v>67</v>
      </c>
      <c r="I24" s="160">
        <v>-17</v>
      </c>
      <c r="J24" s="160">
        <v>-21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f t="shared" si="38"/>
        <v>-4</v>
      </c>
      <c r="S24" s="160">
        <f t="shared" si="39"/>
        <v>21</v>
      </c>
      <c r="T24" s="160">
        <f t="shared" si="40"/>
        <v>0</v>
      </c>
      <c r="U24" s="160">
        <f t="shared" si="41"/>
        <v>0</v>
      </c>
      <c r="V24" s="160">
        <f t="shared" si="42"/>
        <v>0</v>
      </c>
      <c r="W24" s="160">
        <f t="shared" si="42"/>
        <v>0</v>
      </c>
      <c r="X24" s="160">
        <f t="shared" si="29"/>
        <v>0</v>
      </c>
      <c r="Y24" s="160">
        <f t="shared" si="30"/>
        <v>0</v>
      </c>
      <c r="Z24" s="161">
        <f>(J24-I24)/I24</f>
        <v>0.23529411764705882</v>
      </c>
      <c r="AA24" s="161">
        <f>(K24-J24)/J24</f>
        <v>-1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v>0</v>
      </c>
      <c r="AH24" s="161">
        <f t="shared" si="43"/>
        <v>-6.9669846890265896E-5</v>
      </c>
      <c r="AI24" s="161">
        <f t="shared" si="44"/>
        <v>-8.9825738068147792E-5</v>
      </c>
      <c r="AJ24" s="161">
        <f t="shared" si="45"/>
        <v>0</v>
      </c>
      <c r="AK24" s="161">
        <f t="shared" si="46"/>
        <v>0</v>
      </c>
      <c r="AL24" s="161">
        <f t="shared" si="47"/>
        <v>0</v>
      </c>
      <c r="AM24" s="161">
        <f t="shared" si="48"/>
        <v>0</v>
      </c>
      <c r="AN24" s="161">
        <f t="shared" si="48"/>
        <v>0</v>
      </c>
      <c r="AO24" s="161">
        <f t="shared" si="35"/>
        <v>0</v>
      </c>
      <c r="AP24" s="161">
        <f t="shared" si="36"/>
        <v>0</v>
      </c>
    </row>
    <row r="25" spans="1:42" x14ac:dyDescent="0.3">
      <c r="A25" s="164" t="s">
        <v>27</v>
      </c>
      <c r="B25" s="165" t="s">
        <v>50</v>
      </c>
      <c r="C25" s="166"/>
      <c r="D25" s="34" t="s">
        <v>68</v>
      </c>
      <c r="E25" s="35"/>
      <c r="F25" s="35"/>
      <c r="G25" s="35"/>
      <c r="H25" s="167" t="s">
        <v>69</v>
      </c>
      <c r="I25" s="168">
        <v>5353</v>
      </c>
      <c r="J25" s="160">
        <v>5708</v>
      </c>
      <c r="K25" s="160">
        <v>6080</v>
      </c>
      <c r="L25" s="160">
        <v>6495</v>
      </c>
      <c r="M25" s="160">
        <v>6811</v>
      </c>
      <c r="N25" s="160">
        <v>7099</v>
      </c>
      <c r="O25" s="160">
        <v>7162</v>
      </c>
      <c r="P25" s="176">
        <v>7750</v>
      </c>
      <c r="Q25" s="176">
        <v>8216</v>
      </c>
      <c r="R25" s="160">
        <f t="shared" si="38"/>
        <v>355</v>
      </c>
      <c r="S25" s="160">
        <f t="shared" si="39"/>
        <v>372</v>
      </c>
      <c r="T25" s="160">
        <f t="shared" si="40"/>
        <v>415</v>
      </c>
      <c r="U25" s="160">
        <f t="shared" si="41"/>
        <v>316</v>
      </c>
      <c r="V25" s="160">
        <f t="shared" si="42"/>
        <v>288</v>
      </c>
      <c r="W25" s="160">
        <f t="shared" si="42"/>
        <v>63</v>
      </c>
      <c r="X25" s="160">
        <f t="shared" si="29"/>
        <v>588</v>
      </c>
      <c r="Y25" s="160">
        <f t="shared" si="30"/>
        <v>466</v>
      </c>
      <c r="Z25" s="161">
        <f t="shared" ref="Z25:AE25" si="49">(J25-I25)/I25</f>
        <v>6.6317952549971984E-2</v>
      </c>
      <c r="AA25" s="161">
        <f t="shared" si="49"/>
        <v>6.517168885774352E-2</v>
      </c>
      <c r="AB25" s="161">
        <f t="shared" si="49"/>
        <v>6.8256578947368418E-2</v>
      </c>
      <c r="AC25" s="161">
        <f t="shared" si="49"/>
        <v>4.8652809853733645E-2</v>
      </c>
      <c r="AD25" s="161">
        <f t="shared" si="49"/>
        <v>4.2284539715166644E-2</v>
      </c>
      <c r="AE25" s="161">
        <f t="shared" si="49"/>
        <v>8.8744893646992527E-3</v>
      </c>
      <c r="AF25" s="161">
        <f t="shared" ref="AF25:AF27" si="50">(P25-O25)/O25</f>
        <v>8.2099972074839433E-2</v>
      </c>
      <c r="AG25" s="161">
        <f t="shared" ref="AG25:AG27" si="51">(Q25-P25)/P25</f>
        <v>6.0129032258064513E-2</v>
      </c>
      <c r="AH25" s="161">
        <f t="shared" si="43"/>
        <v>2.1937805317858432E-2</v>
      </c>
      <c r="AI25" s="161">
        <f t="shared" si="44"/>
        <v>2.4415491090142266E-2</v>
      </c>
      <c r="AJ25" s="161">
        <f t="shared" si="45"/>
        <v>2.3472094073682302E-2</v>
      </c>
      <c r="AK25" s="161">
        <f t="shared" si="46"/>
        <v>2.5425022606544351E-2</v>
      </c>
      <c r="AL25" s="161">
        <f t="shared" si="47"/>
        <v>2.5959028108623154E-2</v>
      </c>
      <c r="AM25" s="161">
        <f t="shared" si="48"/>
        <v>2.9514603471572601E-2</v>
      </c>
      <c r="AN25" s="161">
        <f t="shared" si="48"/>
        <v>2.759338097898326E-2</v>
      </c>
      <c r="AO25" s="161">
        <f t="shared" si="35"/>
        <v>2.7858657751896186E-2</v>
      </c>
      <c r="AP25" s="161">
        <f t="shared" si="36"/>
        <v>2.9591105380495659E-2</v>
      </c>
    </row>
    <row r="26" spans="1:42" x14ac:dyDescent="0.3">
      <c r="A26" s="164" t="s">
        <v>27</v>
      </c>
      <c r="B26" s="165" t="s">
        <v>53</v>
      </c>
      <c r="C26" s="166"/>
      <c r="D26" s="34" t="s">
        <v>70</v>
      </c>
      <c r="E26" s="35"/>
      <c r="F26" s="35"/>
      <c r="G26" s="35"/>
      <c r="H26" s="167" t="s">
        <v>71</v>
      </c>
      <c r="I26" s="160">
        <v>53226</v>
      </c>
      <c r="J26" s="160">
        <v>59968</v>
      </c>
      <c r="K26" s="160">
        <v>67033</v>
      </c>
      <c r="L26" s="160">
        <v>74920</v>
      </c>
      <c r="M26" s="160">
        <v>80922</v>
      </c>
      <c r="N26" s="160">
        <v>86405</v>
      </c>
      <c r="O26" s="160">
        <v>87594</v>
      </c>
      <c r="P26" s="176">
        <v>98765</v>
      </c>
      <c r="Q26" s="176">
        <v>107622</v>
      </c>
      <c r="R26" s="160">
        <f t="shared" si="38"/>
        <v>6742</v>
      </c>
      <c r="S26" s="160">
        <f t="shared" si="39"/>
        <v>7065</v>
      </c>
      <c r="T26" s="160">
        <f t="shared" si="40"/>
        <v>7887</v>
      </c>
      <c r="U26" s="160">
        <f t="shared" si="41"/>
        <v>6002</v>
      </c>
      <c r="V26" s="160">
        <f t="shared" si="42"/>
        <v>5483</v>
      </c>
      <c r="W26" s="160">
        <f t="shared" si="42"/>
        <v>1189</v>
      </c>
      <c r="X26" s="160">
        <f t="shared" si="29"/>
        <v>11171</v>
      </c>
      <c r="Y26" s="160">
        <f t="shared" si="30"/>
        <v>8857</v>
      </c>
      <c r="Z26" s="161">
        <f t="shared" ref="Z26:AE26" si="52">(J26-I26)/I26</f>
        <v>0.12666741817908542</v>
      </c>
      <c r="AA26" s="161">
        <f t="shared" si="52"/>
        <v>0.11781283351120597</v>
      </c>
      <c r="AB26" s="161">
        <f t="shared" si="52"/>
        <v>0.11765846672534423</v>
      </c>
      <c r="AC26" s="161">
        <f t="shared" si="52"/>
        <v>8.0112119594233852E-2</v>
      </c>
      <c r="AD26" s="161">
        <f t="shared" si="52"/>
        <v>6.7756605125923727E-2</v>
      </c>
      <c r="AE26" s="161">
        <f t="shared" si="52"/>
        <v>1.3760777732770095E-2</v>
      </c>
      <c r="AF26" s="161">
        <f t="shared" si="50"/>
        <v>0.12753156608900154</v>
      </c>
      <c r="AG26" s="161">
        <f t="shared" si="51"/>
        <v>8.9677517339138355E-2</v>
      </c>
      <c r="AH26" s="161">
        <f t="shared" si="43"/>
        <v>0.21813219238713485</v>
      </c>
      <c r="AI26" s="161">
        <f t="shared" si="44"/>
        <v>0.25650808859384222</v>
      </c>
      <c r="AJ26" s="161">
        <f t="shared" si="45"/>
        <v>0.25878369770413578</v>
      </c>
      <c r="AK26" s="161">
        <f t="shared" si="46"/>
        <v>0.29327832081328759</v>
      </c>
      <c r="AL26" s="161">
        <f t="shared" si="47"/>
        <v>0.30842115292996664</v>
      </c>
      <c r="AM26" s="161">
        <f t="shared" si="48"/>
        <v>0.35923500675605446</v>
      </c>
      <c r="AN26" s="161">
        <f t="shared" si="48"/>
        <v>0.33747760590240988</v>
      </c>
      <c r="AO26" s="161">
        <f t="shared" si="35"/>
        <v>0.35502713972464861</v>
      </c>
      <c r="AP26" s="161">
        <f t="shared" si="36"/>
        <v>0.38761610799168739</v>
      </c>
    </row>
    <row r="27" spans="1:42" x14ac:dyDescent="0.3">
      <c r="A27" s="164" t="s">
        <v>27</v>
      </c>
      <c r="B27" s="165" t="s">
        <v>72</v>
      </c>
      <c r="C27" s="166"/>
      <c r="D27" s="34" t="s">
        <v>73</v>
      </c>
      <c r="E27" s="35"/>
      <c r="F27" s="35"/>
      <c r="G27" s="35"/>
      <c r="H27" s="167" t="s">
        <v>74</v>
      </c>
      <c r="I27" s="160">
        <v>7097</v>
      </c>
      <c r="J27" s="160">
        <v>7436</v>
      </c>
      <c r="K27" s="160">
        <v>8302</v>
      </c>
      <c r="L27" s="160">
        <v>6318</v>
      </c>
      <c r="M27" s="160">
        <v>5773</v>
      </c>
      <c r="N27" s="160">
        <v>1252</v>
      </c>
      <c r="O27" s="160">
        <v>11759</v>
      </c>
      <c r="P27" s="176">
        <v>9324</v>
      </c>
      <c r="Q27" s="176">
        <v>3292</v>
      </c>
      <c r="R27" s="160">
        <f t="shared" si="38"/>
        <v>339</v>
      </c>
      <c r="S27" s="160">
        <f t="shared" si="39"/>
        <v>866</v>
      </c>
      <c r="T27" s="160">
        <f t="shared" si="40"/>
        <v>-1984</v>
      </c>
      <c r="U27" s="160">
        <f t="shared" si="41"/>
        <v>-545</v>
      </c>
      <c r="V27" s="160">
        <f t="shared" si="42"/>
        <v>-4521</v>
      </c>
      <c r="W27" s="160">
        <f t="shared" si="42"/>
        <v>10507</v>
      </c>
      <c r="X27" s="160">
        <f t="shared" si="29"/>
        <v>-2435</v>
      </c>
      <c r="Y27" s="160">
        <f t="shared" si="30"/>
        <v>-6032</v>
      </c>
      <c r="Z27" s="161">
        <f t="shared" ref="Z27:AE27" si="53">(J27-I27)/I27</f>
        <v>4.7766661969846413E-2</v>
      </c>
      <c r="AA27" s="161">
        <f t="shared" si="53"/>
        <v>0.11646046261430877</v>
      </c>
      <c r="AB27" s="161">
        <f t="shared" si="53"/>
        <v>-0.23897855938328114</v>
      </c>
      <c r="AC27" s="161">
        <f t="shared" si="53"/>
        <v>-8.6261475150364045E-2</v>
      </c>
      <c r="AD27" s="161">
        <f t="shared" si="53"/>
        <v>-0.78312835614065479</v>
      </c>
      <c r="AE27" s="161">
        <f t="shared" si="53"/>
        <v>8.392172523961662</v>
      </c>
      <c r="AF27" s="161">
        <f t="shared" si="50"/>
        <v>-0.2070754315843184</v>
      </c>
      <c r="AG27" s="161">
        <f t="shared" si="51"/>
        <v>-0.64693264693264696</v>
      </c>
      <c r="AH27" s="161">
        <f t="shared" si="43"/>
        <v>2.908511196354218E-2</v>
      </c>
      <c r="AI27" s="161">
        <f t="shared" si="44"/>
        <v>3.1806866108321286E-2</v>
      </c>
      <c r="AJ27" s="161">
        <f t="shared" si="45"/>
        <v>3.205021792758396E-2</v>
      </c>
      <c r="AK27" s="161">
        <f t="shared" si="46"/>
        <v>2.4732146701793255E-2</v>
      </c>
      <c r="AL27" s="161">
        <f t="shared" si="47"/>
        <v>2.2002858504049549E-2</v>
      </c>
      <c r="AM27" s="161">
        <f t="shared" si="48"/>
        <v>5.2052801164120151E-3</v>
      </c>
      <c r="AN27" s="161">
        <f t="shared" si="48"/>
        <v>4.5304463408526133E-2</v>
      </c>
      <c r="AO27" s="161">
        <f t="shared" si="35"/>
        <v>3.3516661274668395E-2</v>
      </c>
      <c r="AP27" s="161">
        <f t="shared" si="36"/>
        <v>1.1856611357423528E-2</v>
      </c>
    </row>
    <row r="28" spans="1:42" x14ac:dyDescent="0.3">
      <c r="A28" s="11" t="s">
        <v>27</v>
      </c>
      <c r="B28" s="12" t="s">
        <v>75</v>
      </c>
      <c r="C28" s="13"/>
      <c r="D28" s="169" t="s">
        <v>76</v>
      </c>
      <c r="E28" s="35"/>
      <c r="F28" s="35"/>
      <c r="G28" s="35"/>
      <c r="H28" s="45" t="s">
        <v>77</v>
      </c>
      <c r="I28" s="51"/>
      <c r="J28" s="52"/>
      <c r="K28" s="52"/>
      <c r="L28" s="52"/>
      <c r="M28" s="53"/>
      <c r="N28" s="54"/>
      <c r="O28" s="54"/>
      <c r="P28" s="54"/>
      <c r="Q28" s="54"/>
      <c r="R28" s="54">
        <f t="shared" si="38"/>
        <v>0</v>
      </c>
      <c r="S28" s="54">
        <f t="shared" si="39"/>
        <v>0</v>
      </c>
      <c r="T28" s="54">
        <f t="shared" si="40"/>
        <v>0</v>
      </c>
      <c r="U28" s="54">
        <f t="shared" si="41"/>
        <v>0</v>
      </c>
      <c r="V28" s="54">
        <f t="shared" si="42"/>
        <v>0</v>
      </c>
      <c r="W28" s="54">
        <f t="shared" si="42"/>
        <v>0</v>
      </c>
      <c r="X28" s="54">
        <f t="shared" si="29"/>
        <v>0</v>
      </c>
      <c r="Y28" s="54">
        <f t="shared" si="30"/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f t="shared" si="43"/>
        <v>0</v>
      </c>
      <c r="AI28" s="135">
        <f t="shared" si="44"/>
        <v>0</v>
      </c>
      <c r="AJ28" s="135">
        <f t="shared" si="45"/>
        <v>0</v>
      </c>
      <c r="AK28" s="135">
        <f t="shared" si="46"/>
        <v>0</v>
      </c>
      <c r="AL28" s="135">
        <f t="shared" si="47"/>
        <v>0</v>
      </c>
      <c r="AM28" s="135">
        <f t="shared" si="48"/>
        <v>0</v>
      </c>
      <c r="AN28" s="135">
        <f t="shared" si="48"/>
        <v>0</v>
      </c>
      <c r="AO28" s="135">
        <f t="shared" si="35"/>
        <v>0</v>
      </c>
      <c r="AP28" s="135">
        <f t="shared" si="36"/>
        <v>0</v>
      </c>
    </row>
    <row r="29" spans="1:42" x14ac:dyDescent="0.3">
      <c r="A29" s="200" t="s">
        <v>78</v>
      </c>
      <c r="B29" s="200"/>
      <c r="C29" s="200"/>
      <c r="D29" s="30" t="s">
        <v>79</v>
      </c>
      <c r="E29" s="31"/>
      <c r="F29" s="31"/>
      <c r="G29" s="31"/>
      <c r="H29" s="43" t="s">
        <v>80</v>
      </c>
      <c r="I29" s="49">
        <f t="shared" ref="I29:N29" si="54">I30+I31</f>
        <v>112393</v>
      </c>
      <c r="J29" s="49">
        <f t="shared" si="54"/>
        <v>94883</v>
      </c>
      <c r="K29" s="49">
        <f t="shared" si="54"/>
        <v>111840</v>
      </c>
      <c r="L29" s="49">
        <f t="shared" si="54"/>
        <v>101640</v>
      </c>
      <c r="M29" s="49">
        <f t="shared" si="54"/>
        <v>103013</v>
      </c>
      <c r="N29" s="49">
        <f t="shared" si="54"/>
        <v>79790</v>
      </c>
      <c r="O29" s="49">
        <v>87169</v>
      </c>
      <c r="P29" s="49">
        <v>96528</v>
      </c>
      <c r="Q29" s="49">
        <v>92735</v>
      </c>
      <c r="R29" s="49">
        <f t="shared" si="38"/>
        <v>-17510</v>
      </c>
      <c r="S29" s="49">
        <f t="shared" si="39"/>
        <v>16957</v>
      </c>
      <c r="T29" s="49">
        <f t="shared" si="40"/>
        <v>-10200</v>
      </c>
      <c r="U29" s="49">
        <f t="shared" si="41"/>
        <v>1373</v>
      </c>
      <c r="V29" s="49">
        <f t="shared" si="42"/>
        <v>-23223</v>
      </c>
      <c r="W29" s="49">
        <f t="shared" si="42"/>
        <v>7379</v>
      </c>
      <c r="X29" s="49">
        <f t="shared" si="29"/>
        <v>9359</v>
      </c>
      <c r="Y29" s="49">
        <f t="shared" si="30"/>
        <v>-3793</v>
      </c>
      <c r="Z29" s="132">
        <f t="shared" ref="Z29:AE29" si="55">(J29-I29)/I29</f>
        <v>-0.15579262053686618</v>
      </c>
      <c r="AA29" s="132">
        <f t="shared" si="55"/>
        <v>0.17871483827450649</v>
      </c>
      <c r="AB29" s="132">
        <f t="shared" si="55"/>
        <v>-9.1201716738197422E-2</v>
      </c>
      <c r="AC29" s="132">
        <f t="shared" si="55"/>
        <v>1.3508461235733963E-2</v>
      </c>
      <c r="AD29" s="132">
        <f t="shared" si="55"/>
        <v>-0.22543756613242988</v>
      </c>
      <c r="AE29" s="132">
        <f t="shared" si="55"/>
        <v>9.2480260684296281E-2</v>
      </c>
      <c r="AF29" s="132">
        <f t="shared" ref="AF29" si="56">(P29-O29)/O29</f>
        <v>0.10736615081049455</v>
      </c>
      <c r="AG29" s="132">
        <f t="shared" ref="AG29" si="57">(Q29-P29)/P29</f>
        <v>-3.9294298027515336E-2</v>
      </c>
      <c r="AH29" s="132">
        <f t="shared" si="43"/>
        <v>0.46061194714927378</v>
      </c>
      <c r="AI29" s="132">
        <f t="shared" si="44"/>
        <v>0.40585407167238413</v>
      </c>
      <c r="AJ29" s="132">
        <f t="shared" si="45"/>
        <v>0.43176299361852444</v>
      </c>
      <c r="AK29" s="132">
        <f t="shared" si="46"/>
        <v>0.39787518055876331</v>
      </c>
      <c r="AL29" s="132">
        <f t="shared" si="47"/>
        <v>0.39261743687470224</v>
      </c>
      <c r="AM29" s="132">
        <f t="shared" si="48"/>
        <v>0.33173266812181684</v>
      </c>
      <c r="AN29" s="132">
        <f t="shared" si="48"/>
        <v>0.33584018801410104</v>
      </c>
      <c r="AO29" s="132">
        <f t="shared" si="35"/>
        <v>0.34698587296452066</v>
      </c>
      <c r="AP29" s="132">
        <f t="shared" si="36"/>
        <v>0.33399843688659503</v>
      </c>
    </row>
    <row r="30" spans="1:42" x14ac:dyDescent="0.3">
      <c r="A30" s="11" t="s">
        <v>30</v>
      </c>
      <c r="B30" s="12"/>
      <c r="C30" s="13"/>
      <c r="D30" s="32" t="s">
        <v>81</v>
      </c>
      <c r="E30" s="33"/>
      <c r="F30" s="33"/>
      <c r="G30" s="33"/>
      <c r="H30" s="44" t="s">
        <v>82</v>
      </c>
      <c r="I30" s="56">
        <v>2580</v>
      </c>
      <c r="J30" s="50">
        <v>0</v>
      </c>
      <c r="K30" s="50">
        <v>801</v>
      </c>
      <c r="L30" s="50">
        <v>946</v>
      </c>
      <c r="M30" s="50">
        <v>923</v>
      </c>
      <c r="N30" s="50">
        <v>1037</v>
      </c>
      <c r="O30" s="50">
        <v>902</v>
      </c>
      <c r="P30" s="50">
        <v>894</v>
      </c>
      <c r="Q30" s="50">
        <v>993</v>
      </c>
      <c r="R30" s="50">
        <f t="shared" si="38"/>
        <v>-2580</v>
      </c>
      <c r="S30" s="50">
        <f t="shared" si="39"/>
        <v>801</v>
      </c>
      <c r="T30" s="50">
        <f t="shared" si="40"/>
        <v>145</v>
      </c>
      <c r="U30" s="50">
        <f t="shared" si="41"/>
        <v>-23</v>
      </c>
      <c r="V30" s="50">
        <f t="shared" si="42"/>
        <v>114</v>
      </c>
      <c r="W30" s="50">
        <f t="shared" si="42"/>
        <v>-135</v>
      </c>
      <c r="X30" s="50">
        <f t="shared" si="29"/>
        <v>-8</v>
      </c>
      <c r="Y30" s="50">
        <f t="shared" si="30"/>
        <v>99</v>
      </c>
      <c r="Z30" s="133">
        <f>(J30-I30)/I30</f>
        <v>-1</v>
      </c>
      <c r="AA30" s="133">
        <v>1</v>
      </c>
      <c r="AB30" s="133">
        <f>(L30-K30)/K30</f>
        <v>0.18102372034956304</v>
      </c>
      <c r="AC30" s="133">
        <f>(M30-L30)/L30</f>
        <v>-2.4312896405919663E-2</v>
      </c>
      <c r="AD30" s="133">
        <f>(N30-M30)/M30</f>
        <v>0.12351029252437704</v>
      </c>
      <c r="AE30" s="133">
        <f>(O30-N30)/N30</f>
        <v>-0.13018322082931533</v>
      </c>
      <c r="AF30" s="133">
        <f>(P30-O30)/O30</f>
        <v>-8.869179600886918E-3</v>
      </c>
      <c r="AG30" s="133">
        <f>(Q30-P30)/P30</f>
        <v>0.11073825503355705</v>
      </c>
      <c r="AH30" s="133">
        <f t="shared" si="43"/>
        <v>1.0573423822169765E-2</v>
      </c>
      <c r="AI30" s="133">
        <f t="shared" si="44"/>
        <v>0</v>
      </c>
      <c r="AJ30" s="133">
        <f t="shared" si="45"/>
        <v>3.0922939725361058E-3</v>
      </c>
      <c r="AK30" s="133">
        <f t="shared" si="46"/>
        <v>3.7031672649408707E-3</v>
      </c>
      <c r="AL30" s="133">
        <f t="shared" si="47"/>
        <v>3.5178656503096714E-3</v>
      </c>
      <c r="AM30" s="133">
        <f t="shared" si="48"/>
        <v>4.3114021411495684E-3</v>
      </c>
      <c r="AN30" s="133">
        <f t="shared" si="48"/>
        <v>3.4751786711872245E-3</v>
      </c>
      <c r="AO30" s="133">
        <f t="shared" si="35"/>
        <v>3.2136309716380889E-3</v>
      </c>
      <c r="AP30" s="133">
        <f t="shared" si="36"/>
        <v>3.5764322836942782E-3</v>
      </c>
    </row>
    <row r="31" spans="1:42" x14ac:dyDescent="0.3">
      <c r="A31" s="11" t="s">
        <v>39</v>
      </c>
      <c r="B31" s="12"/>
      <c r="C31" s="13"/>
      <c r="D31" s="30" t="s">
        <v>83</v>
      </c>
      <c r="E31" s="31"/>
      <c r="F31" s="31"/>
      <c r="G31" s="31"/>
      <c r="H31" s="43" t="s">
        <v>84</v>
      </c>
      <c r="I31" s="49">
        <f t="shared" ref="I31:N31" si="58">I32+I36</f>
        <v>109813</v>
      </c>
      <c r="J31" s="49">
        <f t="shared" si="58"/>
        <v>94883</v>
      </c>
      <c r="K31" s="49">
        <f t="shared" si="58"/>
        <v>111039</v>
      </c>
      <c r="L31" s="49">
        <f t="shared" si="58"/>
        <v>100694</v>
      </c>
      <c r="M31" s="49">
        <f t="shared" si="58"/>
        <v>102090</v>
      </c>
      <c r="N31" s="49">
        <f t="shared" si="58"/>
        <v>78753</v>
      </c>
      <c r="O31" s="49">
        <v>86267</v>
      </c>
      <c r="P31" s="49">
        <v>95634</v>
      </c>
      <c r="Q31" s="49">
        <v>91742</v>
      </c>
      <c r="R31" s="49">
        <f t="shared" si="38"/>
        <v>-14930</v>
      </c>
      <c r="S31" s="49">
        <f t="shared" si="39"/>
        <v>16156</v>
      </c>
      <c r="T31" s="49">
        <f t="shared" si="40"/>
        <v>-10345</v>
      </c>
      <c r="U31" s="49">
        <f t="shared" si="41"/>
        <v>1396</v>
      </c>
      <c r="V31" s="49">
        <f t="shared" si="42"/>
        <v>-23337</v>
      </c>
      <c r="W31" s="49">
        <f t="shared" si="42"/>
        <v>7514</v>
      </c>
      <c r="X31" s="49">
        <f t="shared" si="29"/>
        <v>9367</v>
      </c>
      <c r="Y31" s="49">
        <f t="shared" si="30"/>
        <v>-3892</v>
      </c>
      <c r="Z31" s="132">
        <f t="shared" ref="Z31:AE32" si="59">(J31-I31)/I31</f>
        <v>-0.1359584020106909</v>
      </c>
      <c r="AA31" s="132">
        <f t="shared" si="59"/>
        <v>0.1702728623673366</v>
      </c>
      <c r="AB31" s="132">
        <f t="shared" si="59"/>
        <v>-9.3165464386386759E-2</v>
      </c>
      <c r="AC31" s="132">
        <f t="shared" si="59"/>
        <v>1.3863785329811111E-2</v>
      </c>
      <c r="AD31" s="132">
        <f t="shared" si="59"/>
        <v>-0.22859241845430503</v>
      </c>
      <c r="AE31" s="132">
        <f t="shared" si="59"/>
        <v>9.5412238263939145E-2</v>
      </c>
      <c r="AF31" s="132">
        <f t="shared" ref="AF31:AF32" si="60">(P31-O31)/O31</f>
        <v>0.10858149698030534</v>
      </c>
      <c r="AG31" s="132">
        <f t="shared" ref="AG31:AG32" si="61">(Q31-P31)/P31</f>
        <v>-4.0696823305518957E-2</v>
      </c>
      <c r="AH31" s="132">
        <f t="shared" si="43"/>
        <v>0.45003852332710403</v>
      </c>
      <c r="AI31" s="132">
        <f t="shared" si="44"/>
        <v>0.40585407167238413</v>
      </c>
      <c r="AJ31" s="132">
        <f t="shared" si="45"/>
        <v>0.42867069964598831</v>
      </c>
      <c r="AK31" s="132">
        <f t="shared" si="46"/>
        <v>0.39417201329382245</v>
      </c>
      <c r="AL31" s="132">
        <f t="shared" si="47"/>
        <v>0.38909957122439259</v>
      </c>
      <c r="AM31" s="132">
        <f t="shared" si="48"/>
        <v>0.32742126598066729</v>
      </c>
      <c r="AN31" s="132">
        <f t="shared" si="48"/>
        <v>0.33236500934291385</v>
      </c>
      <c r="AO31" s="132">
        <f t="shared" si="35"/>
        <v>0.34377224199288259</v>
      </c>
      <c r="AP31" s="132">
        <f t="shared" si="36"/>
        <v>0.33042200460290078</v>
      </c>
    </row>
    <row r="32" spans="1:42" x14ac:dyDescent="0.3">
      <c r="A32" s="14" t="s">
        <v>39</v>
      </c>
      <c r="B32" s="15" t="s">
        <v>33</v>
      </c>
      <c r="C32" s="16"/>
      <c r="D32" s="38" t="s">
        <v>85</v>
      </c>
      <c r="E32" s="33"/>
      <c r="F32" s="33"/>
      <c r="G32" s="33"/>
      <c r="H32" s="44" t="s">
        <v>86</v>
      </c>
      <c r="I32" s="50">
        <f>11913+22640</f>
        <v>34553</v>
      </c>
      <c r="J32" s="50">
        <f>9710+9328</f>
        <v>19038</v>
      </c>
      <c r="K32" s="50">
        <f>8491+23801</f>
        <v>32292</v>
      </c>
      <c r="L32" s="50">
        <f>8656+17853</f>
        <v>26509</v>
      </c>
      <c r="M32" s="50">
        <v>18734</v>
      </c>
      <c r="N32" s="50">
        <v>14691</v>
      </c>
      <c r="O32" s="50">
        <v>19545</v>
      </c>
      <c r="P32" s="50">
        <v>20213</v>
      </c>
      <c r="Q32" s="50">
        <v>12664</v>
      </c>
      <c r="R32" s="50">
        <f t="shared" si="38"/>
        <v>-15515</v>
      </c>
      <c r="S32" s="50">
        <f t="shared" si="39"/>
        <v>13254</v>
      </c>
      <c r="T32" s="50">
        <f t="shared" si="40"/>
        <v>-5783</v>
      </c>
      <c r="U32" s="50">
        <f t="shared" si="41"/>
        <v>-7775</v>
      </c>
      <c r="V32" s="50">
        <f t="shared" si="42"/>
        <v>-4043</v>
      </c>
      <c r="W32" s="50">
        <f t="shared" si="42"/>
        <v>4854</v>
      </c>
      <c r="X32" s="50">
        <f t="shared" si="29"/>
        <v>668</v>
      </c>
      <c r="Y32" s="50">
        <f t="shared" si="30"/>
        <v>-7549</v>
      </c>
      <c r="Z32" s="133">
        <f t="shared" si="59"/>
        <v>-0.44902034555610221</v>
      </c>
      <c r="AA32" s="133">
        <f t="shared" si="59"/>
        <v>0.69618657421998109</v>
      </c>
      <c r="AB32" s="133">
        <f t="shared" si="59"/>
        <v>-0.17908460299764647</v>
      </c>
      <c r="AC32" s="133">
        <f t="shared" si="59"/>
        <v>-0.29329661624353992</v>
      </c>
      <c r="AD32" s="133">
        <f t="shared" si="59"/>
        <v>-0.21581082523753603</v>
      </c>
      <c r="AE32" s="133">
        <f t="shared" si="59"/>
        <v>0.33040637124770267</v>
      </c>
      <c r="AF32" s="133">
        <f t="shared" si="60"/>
        <v>3.4177539012535174E-2</v>
      </c>
      <c r="AG32" s="133">
        <f t="shared" si="61"/>
        <v>-0.37347251768663731</v>
      </c>
      <c r="AH32" s="133">
        <f t="shared" si="43"/>
        <v>0.14160601291760927</v>
      </c>
      <c r="AI32" s="133">
        <f t="shared" si="44"/>
        <v>8.1433447682923696E-2</v>
      </c>
      <c r="AJ32" s="133">
        <f t="shared" si="45"/>
        <v>0.12466461543212974</v>
      </c>
      <c r="AK32" s="133">
        <f t="shared" si="46"/>
        <v>0.1037708890341623</v>
      </c>
      <c r="AL32" s="133">
        <f t="shared" si="47"/>
        <v>7.1401619818961412E-2</v>
      </c>
      <c r="AM32" s="133">
        <f t="shared" si="48"/>
        <v>6.1078889928281886E-2</v>
      </c>
      <c r="AN32" s="133">
        <f t="shared" si="48"/>
        <v>7.5301959122344012E-2</v>
      </c>
      <c r="AO32" s="133">
        <f t="shared" si="35"/>
        <v>7.2658974082461622E-2</v>
      </c>
      <c r="AP32" s="133">
        <f t="shared" si="36"/>
        <v>4.5611216959420282E-2</v>
      </c>
    </row>
    <row r="33" spans="1:42" x14ac:dyDescent="0.3">
      <c r="A33" s="14" t="s">
        <v>39</v>
      </c>
      <c r="B33" s="15" t="s">
        <v>33</v>
      </c>
      <c r="C33" s="16">
        <v>1</v>
      </c>
      <c r="D33" s="36" t="s">
        <v>87</v>
      </c>
      <c r="E33" s="37"/>
      <c r="F33" s="37"/>
      <c r="G33" s="37"/>
      <c r="H33" s="46" t="s">
        <v>88</v>
      </c>
      <c r="I33" s="55"/>
      <c r="J33" s="55"/>
      <c r="K33" s="55"/>
      <c r="L33" s="55"/>
      <c r="M33" s="55"/>
      <c r="N33" s="54"/>
      <c r="O33" s="54"/>
      <c r="P33" s="54"/>
      <c r="Q33" s="54"/>
      <c r="R33" s="54">
        <f t="shared" si="38"/>
        <v>0</v>
      </c>
      <c r="S33" s="54">
        <f t="shared" si="39"/>
        <v>0</v>
      </c>
      <c r="T33" s="54">
        <f t="shared" si="40"/>
        <v>0</v>
      </c>
      <c r="U33" s="54">
        <f t="shared" si="41"/>
        <v>0</v>
      </c>
      <c r="V33" s="54">
        <f t="shared" si="42"/>
        <v>0</v>
      </c>
      <c r="W33" s="54">
        <f t="shared" si="42"/>
        <v>0</v>
      </c>
      <c r="X33" s="54">
        <f t="shared" si="29"/>
        <v>0</v>
      </c>
      <c r="Y33" s="54">
        <f t="shared" si="30"/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f t="shared" si="43"/>
        <v>0</v>
      </c>
      <c r="AI33" s="135">
        <f t="shared" si="44"/>
        <v>0</v>
      </c>
      <c r="AJ33" s="135">
        <f t="shared" si="45"/>
        <v>0</v>
      </c>
      <c r="AK33" s="135">
        <f t="shared" si="46"/>
        <v>0</v>
      </c>
      <c r="AL33" s="135">
        <f t="shared" si="47"/>
        <v>0</v>
      </c>
      <c r="AM33" s="135">
        <f t="shared" si="48"/>
        <v>0</v>
      </c>
      <c r="AN33" s="135">
        <f t="shared" si="48"/>
        <v>0</v>
      </c>
      <c r="AO33" s="135">
        <f t="shared" si="35"/>
        <v>0</v>
      </c>
      <c r="AP33" s="135">
        <f t="shared" si="36"/>
        <v>0</v>
      </c>
    </row>
    <row r="34" spans="1:42" ht="14.25" customHeight="1" x14ac:dyDescent="0.3">
      <c r="A34" s="14"/>
      <c r="B34" s="15"/>
      <c r="C34" s="16">
        <v>2</v>
      </c>
      <c r="D34" s="34" t="s">
        <v>89</v>
      </c>
      <c r="E34" s="35"/>
      <c r="F34" s="35"/>
      <c r="G34" s="35"/>
      <c r="H34" s="45" t="s">
        <v>90</v>
      </c>
      <c r="I34" s="51" t="s">
        <v>91</v>
      </c>
      <c r="J34" s="52">
        <v>9328</v>
      </c>
      <c r="K34" s="53">
        <v>23801</v>
      </c>
      <c r="L34" s="52">
        <v>17853</v>
      </c>
      <c r="M34" s="53">
        <v>12575</v>
      </c>
      <c r="N34" s="53">
        <v>10179</v>
      </c>
      <c r="O34" s="53">
        <v>15068</v>
      </c>
      <c r="P34" s="53">
        <v>13926</v>
      </c>
      <c r="Q34" s="53">
        <v>9596</v>
      </c>
      <c r="R34" s="53">
        <f t="shared" si="38"/>
        <v>-13312</v>
      </c>
      <c r="S34" s="53">
        <f t="shared" si="39"/>
        <v>14473</v>
      </c>
      <c r="T34" s="53">
        <f t="shared" si="40"/>
        <v>-5948</v>
      </c>
      <c r="U34" s="53">
        <f t="shared" si="41"/>
        <v>-5278</v>
      </c>
      <c r="V34" s="53">
        <f t="shared" si="42"/>
        <v>-2396</v>
      </c>
      <c r="W34" s="53">
        <f t="shared" si="42"/>
        <v>4889</v>
      </c>
      <c r="X34" s="53">
        <f t="shared" si="29"/>
        <v>-1142</v>
      </c>
      <c r="Y34" s="53">
        <f t="shared" si="30"/>
        <v>-4330</v>
      </c>
      <c r="Z34" s="136">
        <f t="shared" ref="Z34:AE41" si="62">(J34-I34)/I34</f>
        <v>-0.58798586572438161</v>
      </c>
      <c r="AA34" s="136">
        <f t="shared" si="62"/>
        <v>1.551565180102916</v>
      </c>
      <c r="AB34" s="136">
        <f t="shared" si="62"/>
        <v>-0.24990546615688417</v>
      </c>
      <c r="AC34" s="136">
        <f t="shared" si="62"/>
        <v>-0.29563658768834372</v>
      </c>
      <c r="AD34" s="136">
        <f t="shared" si="62"/>
        <v>-0.19053677932405566</v>
      </c>
      <c r="AE34" s="136">
        <f t="shared" si="62"/>
        <v>0.4803025837508596</v>
      </c>
      <c r="AF34" s="136">
        <f t="shared" ref="AF34:AF41" si="63">(P34-O34)/O34</f>
        <v>-7.578975311919299E-2</v>
      </c>
      <c r="AG34" s="136">
        <f t="shared" ref="AG34:AG41" si="64">(Q34-P34)/P34</f>
        <v>-0.31092919718512135</v>
      </c>
      <c r="AH34" s="136">
        <f t="shared" si="43"/>
        <v>9.2783843152683523E-2</v>
      </c>
      <c r="AI34" s="136">
        <f t="shared" si="44"/>
        <v>3.9899737366651554E-2</v>
      </c>
      <c r="AJ34" s="136">
        <f t="shared" si="45"/>
        <v>9.1884755106531657E-2</v>
      </c>
      <c r="AK34" s="136">
        <f t="shared" si="46"/>
        <v>6.9886517104639917E-2</v>
      </c>
      <c r="AL34" s="136">
        <f t="shared" si="47"/>
        <v>4.7927584564078134E-2</v>
      </c>
      <c r="AM34" s="136">
        <f t="shared" si="48"/>
        <v>4.2319925163704399E-2</v>
      </c>
      <c r="AN34" s="136">
        <f t="shared" si="48"/>
        <v>5.8053206449500107E-2</v>
      </c>
      <c r="AO34" s="136">
        <f t="shared" si="35"/>
        <v>5.0059311981020163E-2</v>
      </c>
      <c r="AP34" s="136">
        <f t="shared" si="36"/>
        <v>3.4561373811007344E-2</v>
      </c>
    </row>
    <row r="35" spans="1:42" x14ac:dyDescent="0.3">
      <c r="A35" s="199"/>
      <c r="B35" s="199"/>
      <c r="C35" s="16">
        <v>9</v>
      </c>
      <c r="D35" s="36" t="s">
        <v>92</v>
      </c>
      <c r="E35" s="37"/>
      <c r="F35" s="37"/>
      <c r="G35" s="37"/>
      <c r="H35" s="46" t="s">
        <v>93</v>
      </c>
      <c r="I35" s="55">
        <v>9710</v>
      </c>
      <c r="J35" s="55">
        <v>11913</v>
      </c>
      <c r="K35" s="55">
        <f>K32-K34</f>
        <v>8491</v>
      </c>
      <c r="L35" s="55">
        <f>L32-L34</f>
        <v>8656</v>
      </c>
      <c r="M35" s="55">
        <f>M32-M34</f>
        <v>6159</v>
      </c>
      <c r="N35" s="55">
        <f>N32-N34</f>
        <v>4512</v>
      </c>
      <c r="O35" s="55">
        <v>4477</v>
      </c>
      <c r="P35" s="55">
        <f>P32-P34</f>
        <v>6287</v>
      </c>
      <c r="Q35" s="55">
        <v>420</v>
      </c>
      <c r="R35" s="55">
        <f t="shared" si="38"/>
        <v>2203</v>
      </c>
      <c r="S35" s="55">
        <f t="shared" si="39"/>
        <v>-3422</v>
      </c>
      <c r="T35" s="55">
        <f t="shared" si="40"/>
        <v>165</v>
      </c>
      <c r="U35" s="55">
        <f t="shared" si="41"/>
        <v>-2497</v>
      </c>
      <c r="V35" s="55">
        <f t="shared" si="42"/>
        <v>-1647</v>
      </c>
      <c r="W35" s="55">
        <f t="shared" si="42"/>
        <v>-35</v>
      </c>
      <c r="X35" s="55">
        <f t="shared" si="29"/>
        <v>1810</v>
      </c>
      <c r="Y35" s="55">
        <f t="shared" si="30"/>
        <v>-5867</v>
      </c>
      <c r="Z35" s="134">
        <f t="shared" si="62"/>
        <v>0.22687950566426365</v>
      </c>
      <c r="AA35" s="134">
        <f t="shared" si="62"/>
        <v>-0.28724922353731219</v>
      </c>
      <c r="AB35" s="134">
        <f t="shared" si="62"/>
        <v>1.9432340124838063E-2</v>
      </c>
      <c r="AC35" s="134">
        <f t="shared" si="62"/>
        <v>-0.28847042513863214</v>
      </c>
      <c r="AD35" s="134">
        <f t="shared" si="62"/>
        <v>-0.26741354115927912</v>
      </c>
      <c r="AE35" s="134">
        <f t="shared" si="62"/>
        <v>-7.7570921985815602E-3</v>
      </c>
      <c r="AF35" s="134">
        <f t="shared" si="63"/>
        <v>0.40428858610676793</v>
      </c>
      <c r="AG35" s="134">
        <f t="shared" si="64"/>
        <v>-0.93319548274216635</v>
      </c>
      <c r="AH35" s="134">
        <f t="shared" si="43"/>
        <v>3.9793777253204814E-2</v>
      </c>
      <c r="AI35" s="134">
        <f t="shared" si="44"/>
        <v>5.0956857981230695E-2</v>
      </c>
      <c r="AJ35" s="134">
        <f t="shared" si="45"/>
        <v>3.2779860325598091E-2</v>
      </c>
      <c r="AK35" s="134">
        <f t="shared" si="46"/>
        <v>3.3884371929522386E-2</v>
      </c>
      <c r="AL35" s="134">
        <f t="shared" si="47"/>
        <v>2.3474035254883278E-2</v>
      </c>
      <c r="AM35" s="134">
        <f t="shared" si="48"/>
        <v>1.8758964764577488E-2</v>
      </c>
      <c r="AN35" s="134">
        <f t="shared" si="48"/>
        <v>1.7248752672843905E-2</v>
      </c>
      <c r="AO35" s="134">
        <f t="shared" si="35"/>
        <v>2.2599662101441462E-2</v>
      </c>
      <c r="AP35" s="134">
        <f t="shared" si="36"/>
        <v>1.5126903918948609E-3</v>
      </c>
    </row>
    <row r="36" spans="1:42" x14ac:dyDescent="0.3">
      <c r="A36" s="11" t="s">
        <v>39</v>
      </c>
      <c r="B36" s="12" t="s">
        <v>36</v>
      </c>
      <c r="C36" s="13"/>
      <c r="D36" s="38" t="s">
        <v>94</v>
      </c>
      <c r="E36" s="33"/>
      <c r="F36" s="33"/>
      <c r="G36" s="33"/>
      <c r="H36" s="44" t="s">
        <v>95</v>
      </c>
      <c r="I36" s="50">
        <f>30381+44879</f>
        <v>75260</v>
      </c>
      <c r="J36" s="50">
        <f>34396+41449</f>
        <v>75845</v>
      </c>
      <c r="K36" s="50">
        <f>34128+44619</f>
        <v>78747</v>
      </c>
      <c r="L36" s="50">
        <v>74185</v>
      </c>
      <c r="M36" s="50">
        <v>83356</v>
      </c>
      <c r="N36" s="50">
        <v>64062</v>
      </c>
      <c r="O36" s="50">
        <v>66722</v>
      </c>
      <c r="P36" s="50">
        <v>75421</v>
      </c>
      <c r="Q36" s="50">
        <v>79078</v>
      </c>
      <c r="R36" s="50">
        <f t="shared" si="38"/>
        <v>585</v>
      </c>
      <c r="S36" s="50">
        <f t="shared" si="39"/>
        <v>2902</v>
      </c>
      <c r="T36" s="50">
        <f t="shared" si="40"/>
        <v>-4562</v>
      </c>
      <c r="U36" s="50">
        <f t="shared" si="41"/>
        <v>9171</v>
      </c>
      <c r="V36" s="50">
        <f t="shared" si="42"/>
        <v>-19294</v>
      </c>
      <c r="W36" s="50">
        <f t="shared" si="42"/>
        <v>2660</v>
      </c>
      <c r="X36" s="50">
        <f t="shared" si="29"/>
        <v>8699</v>
      </c>
      <c r="Y36" s="50">
        <f t="shared" si="30"/>
        <v>3657</v>
      </c>
      <c r="Z36" s="133">
        <f t="shared" si="62"/>
        <v>7.7730534148285945E-3</v>
      </c>
      <c r="AA36" s="133">
        <f t="shared" si="62"/>
        <v>3.8262245368844351E-2</v>
      </c>
      <c r="AB36" s="133">
        <f t="shared" si="62"/>
        <v>-5.7932365677422631E-2</v>
      </c>
      <c r="AC36" s="133">
        <f t="shared" si="62"/>
        <v>0.12362337399743883</v>
      </c>
      <c r="AD36" s="133">
        <f t="shared" si="62"/>
        <v>-0.23146504150870964</v>
      </c>
      <c r="AE36" s="133">
        <f t="shared" si="62"/>
        <v>4.1522275295807189E-2</v>
      </c>
      <c r="AF36" s="133">
        <f t="shared" si="63"/>
        <v>0.13037678726656876</v>
      </c>
      <c r="AG36" s="133">
        <f t="shared" si="64"/>
        <v>4.8487821694223096E-2</v>
      </c>
      <c r="AH36" s="133">
        <f t="shared" si="43"/>
        <v>0.30843251040949476</v>
      </c>
      <c r="AI36" s="133">
        <f t="shared" si="44"/>
        <v>0.32442062398946042</v>
      </c>
      <c r="AJ36" s="133">
        <f t="shared" si="45"/>
        <v>0.30400608421385855</v>
      </c>
      <c r="AK36" s="133">
        <f t="shared" si="46"/>
        <v>0.29040112425966014</v>
      </c>
      <c r="AL36" s="133">
        <f t="shared" si="47"/>
        <v>0.31769795140543117</v>
      </c>
      <c r="AM36" s="133">
        <f t="shared" si="48"/>
        <v>0.26634237605238542</v>
      </c>
      <c r="AN36" s="133">
        <f t="shared" si="48"/>
        <v>0.2570630502205698</v>
      </c>
      <c r="AO36" s="133">
        <f t="shared" si="35"/>
        <v>0.27111326791042095</v>
      </c>
      <c r="AP36" s="133">
        <f t="shared" si="36"/>
        <v>0.2848107876434805</v>
      </c>
    </row>
    <row r="37" spans="1:42" x14ac:dyDescent="0.3">
      <c r="A37" s="14"/>
      <c r="B37" s="15"/>
      <c r="C37" s="16" t="s">
        <v>29</v>
      </c>
      <c r="D37" s="34" t="s">
        <v>89</v>
      </c>
      <c r="E37" s="35"/>
      <c r="F37" s="35"/>
      <c r="G37" s="35"/>
      <c r="H37" s="45" t="s">
        <v>96</v>
      </c>
      <c r="I37" s="51" t="s">
        <v>97</v>
      </c>
      <c r="J37" s="52">
        <v>41449</v>
      </c>
      <c r="K37" s="52">
        <v>44619</v>
      </c>
      <c r="L37" s="52">
        <v>46610</v>
      </c>
      <c r="M37" s="53">
        <v>43745</v>
      </c>
      <c r="N37" s="53">
        <v>42395</v>
      </c>
      <c r="O37" s="53">
        <v>39529</v>
      </c>
      <c r="P37" s="53">
        <v>45646</v>
      </c>
      <c r="Q37" s="53">
        <v>46047</v>
      </c>
      <c r="R37" s="53">
        <f t="shared" si="38"/>
        <v>-3430</v>
      </c>
      <c r="S37" s="53">
        <f t="shared" si="39"/>
        <v>3170</v>
      </c>
      <c r="T37" s="53">
        <f t="shared" si="40"/>
        <v>1991</v>
      </c>
      <c r="U37" s="53">
        <f t="shared" si="41"/>
        <v>-2865</v>
      </c>
      <c r="V37" s="53">
        <f t="shared" si="42"/>
        <v>-1350</v>
      </c>
      <c r="W37" s="53">
        <f t="shared" si="42"/>
        <v>-2866</v>
      </c>
      <c r="X37" s="53">
        <f t="shared" si="29"/>
        <v>6117</v>
      </c>
      <c r="Y37" s="53">
        <f t="shared" si="30"/>
        <v>401</v>
      </c>
      <c r="Z37" s="136">
        <f t="shared" si="62"/>
        <v>-7.6427727890550148E-2</v>
      </c>
      <c r="AA37" s="136">
        <f t="shared" si="62"/>
        <v>7.647952905980844E-2</v>
      </c>
      <c r="AB37" s="136">
        <f t="shared" si="62"/>
        <v>4.4622246128330982E-2</v>
      </c>
      <c r="AC37" s="136">
        <f t="shared" si="62"/>
        <v>-6.1467496245440893E-2</v>
      </c>
      <c r="AD37" s="136">
        <f t="shared" si="62"/>
        <v>-3.0860669790833239E-2</v>
      </c>
      <c r="AE37" s="136">
        <f t="shared" si="62"/>
        <v>-6.7602311593348272E-2</v>
      </c>
      <c r="AF37" s="136">
        <f t="shared" si="63"/>
        <v>0.15474714766374054</v>
      </c>
      <c r="AG37" s="136">
        <f t="shared" si="64"/>
        <v>8.7849975901502873E-3</v>
      </c>
      <c r="AH37" s="136">
        <f t="shared" si="43"/>
        <v>0.18392429756401429</v>
      </c>
      <c r="AI37" s="136">
        <f t="shared" si="44"/>
        <v>0.17729461986603132</v>
      </c>
      <c r="AJ37" s="136">
        <f t="shared" si="45"/>
        <v>0.17225351405816292</v>
      </c>
      <c r="AK37" s="136">
        <f t="shared" si="46"/>
        <v>0.18245732158445452</v>
      </c>
      <c r="AL37" s="136">
        <f t="shared" si="47"/>
        <v>0.16672701286326821</v>
      </c>
      <c r="AM37" s="136">
        <f t="shared" si="48"/>
        <v>0.17626026400582059</v>
      </c>
      <c r="AN37" s="136">
        <f t="shared" si="48"/>
        <v>0.15229527460461173</v>
      </c>
      <c r="AO37" s="136">
        <f t="shared" si="35"/>
        <v>0.16408210216039398</v>
      </c>
      <c r="AP37" s="136">
        <f t="shared" si="36"/>
        <v>0.16584489160853014</v>
      </c>
    </row>
    <row r="38" spans="1:42" x14ac:dyDescent="0.3">
      <c r="A38" s="14"/>
      <c r="B38" s="15"/>
      <c r="C38" s="16" t="s">
        <v>98</v>
      </c>
      <c r="D38" s="36" t="s">
        <v>99</v>
      </c>
      <c r="E38" s="37"/>
      <c r="F38" s="37"/>
      <c r="G38" s="37"/>
      <c r="H38" s="46" t="s">
        <v>100</v>
      </c>
      <c r="I38" s="55">
        <f t="shared" ref="I38:N38" si="65">I36-I37</f>
        <v>30381</v>
      </c>
      <c r="J38" s="55">
        <f t="shared" si="65"/>
        <v>34396</v>
      </c>
      <c r="K38" s="55">
        <f t="shared" si="65"/>
        <v>34128</v>
      </c>
      <c r="L38" s="55">
        <f t="shared" si="65"/>
        <v>27575</v>
      </c>
      <c r="M38" s="55">
        <f t="shared" si="65"/>
        <v>39611</v>
      </c>
      <c r="N38" s="55">
        <f t="shared" si="65"/>
        <v>21667</v>
      </c>
      <c r="O38" s="55">
        <f>O36-O37</f>
        <v>27193</v>
      </c>
      <c r="P38" s="55">
        <f t="shared" ref="P38" si="66">P36-P37</f>
        <v>29775</v>
      </c>
      <c r="Q38" s="55">
        <v>24449</v>
      </c>
      <c r="R38" s="55">
        <f t="shared" si="38"/>
        <v>4015</v>
      </c>
      <c r="S38" s="55">
        <f t="shared" si="39"/>
        <v>-268</v>
      </c>
      <c r="T38" s="55">
        <f t="shared" si="40"/>
        <v>-6553</v>
      </c>
      <c r="U38" s="55">
        <f t="shared" si="41"/>
        <v>12036</v>
      </c>
      <c r="V38" s="55">
        <f t="shared" si="42"/>
        <v>-17944</v>
      </c>
      <c r="W38" s="55">
        <f t="shared" si="42"/>
        <v>5526</v>
      </c>
      <c r="X38" s="55">
        <f t="shared" si="29"/>
        <v>2582</v>
      </c>
      <c r="Y38" s="55">
        <f t="shared" si="30"/>
        <v>-5326</v>
      </c>
      <c r="Z38" s="134">
        <f t="shared" si="62"/>
        <v>0.13215496527434911</v>
      </c>
      <c r="AA38" s="134">
        <f t="shared" si="62"/>
        <v>-7.791603674845912E-3</v>
      </c>
      <c r="AB38" s="134">
        <f t="shared" si="62"/>
        <v>-0.19201242381622127</v>
      </c>
      <c r="AC38" s="134">
        <f t="shared" si="62"/>
        <v>0.43648232094288303</v>
      </c>
      <c r="AD38" s="134">
        <f t="shared" si="62"/>
        <v>-0.45300547827623638</v>
      </c>
      <c r="AE38" s="134">
        <f t="shared" si="62"/>
        <v>0.25504223011953664</v>
      </c>
      <c r="AF38" s="134">
        <f t="shared" si="63"/>
        <v>9.4950906483286135E-2</v>
      </c>
      <c r="AG38" s="134">
        <f t="shared" si="64"/>
        <v>-0.17887489504617968</v>
      </c>
      <c r="AH38" s="134">
        <f t="shared" si="43"/>
        <v>0.12450821284548047</v>
      </c>
      <c r="AI38" s="134">
        <f t="shared" si="44"/>
        <v>0.14712600412342913</v>
      </c>
      <c r="AJ38" s="134">
        <f t="shared" si="45"/>
        <v>0.13175257015569566</v>
      </c>
      <c r="AK38" s="134">
        <f t="shared" si="46"/>
        <v>0.10794380267520561</v>
      </c>
      <c r="AL38" s="134">
        <f t="shared" si="47"/>
        <v>0.15097093854216292</v>
      </c>
      <c r="AM38" s="134">
        <f t="shared" si="48"/>
        <v>9.00821120465648E-2</v>
      </c>
      <c r="AN38" s="134">
        <f t="shared" si="48"/>
        <v>0.10476777561595808</v>
      </c>
      <c r="AO38" s="134">
        <f t="shared" si="35"/>
        <v>0.10703116575002695</v>
      </c>
      <c r="AP38" s="134">
        <f t="shared" si="36"/>
        <v>8.8056589027232027E-2</v>
      </c>
    </row>
    <row r="39" spans="1:42" x14ac:dyDescent="0.3">
      <c r="A39" s="11" t="s">
        <v>56</v>
      </c>
      <c r="B39" s="12"/>
      <c r="C39" s="13"/>
      <c r="D39" s="30" t="s">
        <v>101</v>
      </c>
      <c r="E39" s="31"/>
      <c r="F39" s="31"/>
      <c r="G39" s="31"/>
      <c r="H39" s="43" t="s">
        <v>102</v>
      </c>
      <c r="I39" s="49">
        <v>206</v>
      </c>
      <c r="J39" s="49">
        <v>62</v>
      </c>
      <c r="K39" s="49">
        <v>26</v>
      </c>
      <c r="L39" s="49">
        <v>334</v>
      </c>
      <c r="M39" s="49">
        <v>106</v>
      </c>
      <c r="N39" s="49">
        <v>229</v>
      </c>
      <c r="O39" s="49">
        <v>121</v>
      </c>
      <c r="P39" s="49">
        <v>73</v>
      </c>
      <c r="Q39" s="49">
        <v>36</v>
      </c>
      <c r="R39" s="49">
        <f t="shared" si="38"/>
        <v>-144</v>
      </c>
      <c r="S39" s="49">
        <f t="shared" si="39"/>
        <v>-36</v>
      </c>
      <c r="T39" s="49">
        <f t="shared" si="40"/>
        <v>308</v>
      </c>
      <c r="U39" s="49">
        <f t="shared" si="41"/>
        <v>-228</v>
      </c>
      <c r="V39" s="49">
        <f t="shared" si="42"/>
        <v>123</v>
      </c>
      <c r="W39" s="49">
        <f t="shared" si="42"/>
        <v>-108</v>
      </c>
      <c r="X39" s="49">
        <f t="shared" si="29"/>
        <v>-48</v>
      </c>
      <c r="Y39" s="49">
        <f t="shared" si="30"/>
        <v>-37</v>
      </c>
      <c r="Z39" s="132">
        <f t="shared" si="62"/>
        <v>-0.69902912621359226</v>
      </c>
      <c r="AA39" s="132">
        <f t="shared" si="62"/>
        <v>-0.58064516129032262</v>
      </c>
      <c r="AB39" s="132">
        <f t="shared" si="62"/>
        <v>11.846153846153847</v>
      </c>
      <c r="AC39" s="132">
        <f t="shared" si="62"/>
        <v>-0.68263473053892221</v>
      </c>
      <c r="AD39" s="132">
        <f t="shared" si="62"/>
        <v>1.1603773584905661</v>
      </c>
      <c r="AE39" s="132">
        <f t="shared" si="62"/>
        <v>-0.47161572052401746</v>
      </c>
      <c r="AF39" s="132">
        <f t="shared" si="63"/>
        <v>-0.39669421487603307</v>
      </c>
      <c r="AG39" s="132">
        <f t="shared" si="64"/>
        <v>-0.50684931506849318</v>
      </c>
      <c r="AH39" s="132">
        <f t="shared" si="43"/>
        <v>8.4423461525851614E-4</v>
      </c>
      <c r="AI39" s="132">
        <f t="shared" si="44"/>
        <v>2.6519979810596015E-4</v>
      </c>
      <c r="AJ39" s="132">
        <f t="shared" si="45"/>
        <v>1.0037408649929931E-4</v>
      </c>
      <c r="AK39" s="132">
        <f t="shared" si="46"/>
        <v>1.307460746818447E-3</v>
      </c>
      <c r="AL39" s="132">
        <f t="shared" si="47"/>
        <v>4.0400190566936635E-4</v>
      </c>
      <c r="AM39" s="132">
        <f t="shared" si="48"/>
        <v>9.5208398295395494E-4</v>
      </c>
      <c r="AN39" s="132">
        <f t="shared" si="48"/>
        <v>4.661825046714569E-4</v>
      </c>
      <c r="AO39" s="132">
        <f t="shared" si="35"/>
        <v>2.6241058269528019E-4</v>
      </c>
      <c r="AP39" s="132">
        <f t="shared" si="36"/>
        <v>1.2965917644813091E-4</v>
      </c>
    </row>
    <row r="40" spans="1:42" x14ac:dyDescent="0.3">
      <c r="A40" s="14" t="s">
        <v>56</v>
      </c>
      <c r="B40" s="15"/>
      <c r="C40" s="16" t="s">
        <v>26</v>
      </c>
      <c r="D40" s="34" t="s">
        <v>103</v>
      </c>
      <c r="E40" s="35"/>
      <c r="F40" s="35"/>
      <c r="G40" s="35"/>
      <c r="H40" s="45" t="s">
        <v>104</v>
      </c>
      <c r="I40" s="51" t="s">
        <v>105</v>
      </c>
      <c r="J40" s="52">
        <v>52</v>
      </c>
      <c r="K40" s="52">
        <v>19</v>
      </c>
      <c r="L40" s="53">
        <v>331</v>
      </c>
      <c r="M40" s="53">
        <v>104</v>
      </c>
      <c r="N40" s="54">
        <v>228</v>
      </c>
      <c r="O40" s="54">
        <v>121</v>
      </c>
      <c r="P40" s="54">
        <v>73</v>
      </c>
      <c r="Q40" s="54">
        <v>36</v>
      </c>
      <c r="R40" s="54">
        <f t="shared" si="38"/>
        <v>-125</v>
      </c>
      <c r="S40" s="54">
        <f t="shared" si="39"/>
        <v>-33</v>
      </c>
      <c r="T40" s="54">
        <f t="shared" si="40"/>
        <v>312</v>
      </c>
      <c r="U40" s="54">
        <f t="shared" si="41"/>
        <v>-227</v>
      </c>
      <c r="V40" s="54">
        <f t="shared" si="42"/>
        <v>124</v>
      </c>
      <c r="W40" s="54">
        <f t="shared" si="42"/>
        <v>-107</v>
      </c>
      <c r="X40" s="54">
        <f t="shared" si="29"/>
        <v>-48</v>
      </c>
      <c r="Y40" s="54">
        <f t="shared" si="30"/>
        <v>-37</v>
      </c>
      <c r="Z40" s="135">
        <f t="shared" si="62"/>
        <v>-0.70621468926553677</v>
      </c>
      <c r="AA40" s="135">
        <f t="shared" si="62"/>
        <v>-0.63461538461538458</v>
      </c>
      <c r="AB40" s="135">
        <f t="shared" si="62"/>
        <v>16.421052631578949</v>
      </c>
      <c r="AC40" s="135">
        <f t="shared" si="62"/>
        <v>-0.6858006042296072</v>
      </c>
      <c r="AD40" s="135">
        <f t="shared" si="62"/>
        <v>1.1923076923076923</v>
      </c>
      <c r="AE40" s="135">
        <f t="shared" si="62"/>
        <v>-0.4692982456140351</v>
      </c>
      <c r="AF40" s="135">
        <f t="shared" si="63"/>
        <v>-0.39669421487603307</v>
      </c>
      <c r="AG40" s="135">
        <f t="shared" si="64"/>
        <v>-0.50684931506849318</v>
      </c>
      <c r="AH40" s="135">
        <f t="shared" si="43"/>
        <v>7.2538605291629782E-4</v>
      </c>
      <c r="AI40" s="135">
        <f t="shared" si="44"/>
        <v>2.2242563712112788E-4</v>
      </c>
      <c r="AJ40" s="135">
        <f t="shared" si="45"/>
        <v>7.3350293980257192E-5</v>
      </c>
      <c r="AK40" s="135">
        <f t="shared" si="46"/>
        <v>1.295717087415886E-3</v>
      </c>
      <c r="AL40" s="135">
        <f t="shared" si="47"/>
        <v>3.963792282039066E-4</v>
      </c>
      <c r="AM40" s="135">
        <f t="shared" si="48"/>
        <v>9.4792641097598998E-4</v>
      </c>
      <c r="AN40" s="135">
        <f t="shared" si="48"/>
        <v>4.661825046714569E-4</v>
      </c>
      <c r="AO40" s="135">
        <f t="shared" si="35"/>
        <v>2.6241058269528019E-4</v>
      </c>
      <c r="AP40" s="135">
        <f t="shared" si="36"/>
        <v>1.2965917644813091E-4</v>
      </c>
    </row>
    <row r="41" spans="1:42" x14ac:dyDescent="0.3">
      <c r="A41" s="21"/>
      <c r="B41" s="22"/>
      <c r="C41" s="39" t="s">
        <v>29</v>
      </c>
      <c r="D41" s="34" t="s">
        <v>106</v>
      </c>
      <c r="E41" s="35"/>
      <c r="F41" s="35"/>
      <c r="G41" s="35"/>
      <c r="H41" s="45" t="s">
        <v>107</v>
      </c>
      <c r="I41" s="51" t="s">
        <v>108</v>
      </c>
      <c r="J41" s="52">
        <v>10</v>
      </c>
      <c r="K41" s="52">
        <v>7</v>
      </c>
      <c r="L41" s="52">
        <v>3</v>
      </c>
      <c r="M41" s="53">
        <v>2</v>
      </c>
      <c r="N41" s="54">
        <v>1</v>
      </c>
      <c r="O41" s="54">
        <v>0</v>
      </c>
      <c r="P41" s="54">
        <v>0</v>
      </c>
      <c r="Q41" s="54">
        <v>0</v>
      </c>
      <c r="R41" s="54">
        <f t="shared" si="38"/>
        <v>-19</v>
      </c>
      <c r="S41" s="54">
        <f t="shared" si="39"/>
        <v>-3</v>
      </c>
      <c r="T41" s="54">
        <f t="shared" si="40"/>
        <v>-4</v>
      </c>
      <c r="U41" s="54">
        <f t="shared" si="41"/>
        <v>-1</v>
      </c>
      <c r="V41" s="54">
        <f t="shared" si="42"/>
        <v>-1</v>
      </c>
      <c r="W41" s="54">
        <f t="shared" si="42"/>
        <v>-1</v>
      </c>
      <c r="X41" s="54">
        <f t="shared" si="29"/>
        <v>0</v>
      </c>
      <c r="Y41" s="54">
        <f t="shared" si="30"/>
        <v>0</v>
      </c>
      <c r="Z41" s="135">
        <f t="shared" si="62"/>
        <v>-0.65517241379310343</v>
      </c>
      <c r="AA41" s="135">
        <f t="shared" si="62"/>
        <v>-0.3</v>
      </c>
      <c r="AB41" s="135">
        <f t="shared" si="62"/>
        <v>-0.5714285714285714</v>
      </c>
      <c r="AC41" s="135">
        <f t="shared" si="62"/>
        <v>-0.33333333333333331</v>
      </c>
      <c r="AD41" s="135">
        <f t="shared" si="62"/>
        <v>-0.5</v>
      </c>
      <c r="AE41" s="135">
        <f>(O41-N41)/N41</f>
        <v>-1</v>
      </c>
      <c r="AF41" s="135">
        <v>0</v>
      </c>
      <c r="AG41" s="135">
        <v>0</v>
      </c>
      <c r="AH41" s="135">
        <f t="shared" si="43"/>
        <v>1.1884856234221829E-4</v>
      </c>
      <c r="AI41" s="135">
        <f t="shared" si="44"/>
        <v>4.2774160984832284E-5</v>
      </c>
      <c r="AJ41" s="135">
        <f t="shared" si="45"/>
        <v>2.7023792519042124E-5</v>
      </c>
      <c r="AK41" s="135">
        <f t="shared" si="46"/>
        <v>1.1743659402560901E-5</v>
      </c>
      <c r="AL41" s="135">
        <f t="shared" si="47"/>
        <v>7.622677465459743E-6</v>
      </c>
      <c r="AM41" s="135">
        <f t="shared" si="48"/>
        <v>4.1575719779648689E-6</v>
      </c>
      <c r="AN41" s="135">
        <f t="shared" si="48"/>
        <v>0</v>
      </c>
      <c r="AO41" s="135">
        <f t="shared" si="35"/>
        <v>0</v>
      </c>
      <c r="AP41" s="135">
        <f t="shared" si="36"/>
        <v>0</v>
      </c>
    </row>
    <row r="44" spans="1:42" x14ac:dyDescent="0.3">
      <c r="AI44" s="96"/>
    </row>
  </sheetData>
  <mergeCells count="33">
    <mergeCell ref="I1:O2"/>
    <mergeCell ref="A4:C4"/>
    <mergeCell ref="D4:G4"/>
    <mergeCell ref="A35:B35"/>
    <mergeCell ref="B22:C22"/>
    <mergeCell ref="A29:C29"/>
    <mergeCell ref="D5:G5"/>
    <mergeCell ref="D8:G8"/>
    <mergeCell ref="B6:C6"/>
    <mergeCell ref="D6:G6"/>
    <mergeCell ref="D7:G7"/>
    <mergeCell ref="R18:V19"/>
    <mergeCell ref="Z18:AD19"/>
    <mergeCell ref="I18:N19"/>
    <mergeCell ref="A18:G20"/>
    <mergeCell ref="A21:C21"/>
    <mergeCell ref="D21:G21"/>
    <mergeCell ref="AH18:AN19"/>
    <mergeCell ref="D15:G15"/>
    <mergeCell ref="D16:G16"/>
    <mergeCell ref="D14:G14"/>
    <mergeCell ref="AH1:AN2"/>
    <mergeCell ref="Z1:AE2"/>
    <mergeCell ref="R1:W2"/>
    <mergeCell ref="H2:H3"/>
    <mergeCell ref="A1:G3"/>
    <mergeCell ref="D13:G13"/>
    <mergeCell ref="D11:G11"/>
    <mergeCell ref="D12:G12"/>
    <mergeCell ref="B9:C9"/>
    <mergeCell ref="D9:G9"/>
    <mergeCell ref="D10:G10"/>
    <mergeCell ref="B5:C5"/>
  </mergeCells>
  <phoneticPr fontId="1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2"/>
  <sheetViews>
    <sheetView topLeftCell="K49" workbookViewId="0">
      <selection activeCell="AD20" sqref="AD20"/>
    </sheetView>
  </sheetViews>
  <sheetFormatPr defaultRowHeight="14.4" x14ac:dyDescent="0.3"/>
  <cols>
    <col min="1" max="1" width="3.6640625" customWidth="1"/>
    <col min="2" max="2" width="4.109375" customWidth="1"/>
    <col min="3" max="3" width="3.44140625" customWidth="1"/>
    <col min="11" max="13" width="10.5546875" customWidth="1"/>
    <col min="20" max="20" width="11.33203125" customWidth="1"/>
    <col min="21" max="21" width="10.44140625" customWidth="1"/>
    <col min="22" max="22" width="10" customWidth="1"/>
    <col min="23" max="23" width="10.5546875" customWidth="1"/>
    <col min="24" max="24" width="11.33203125" customWidth="1"/>
    <col min="26" max="27" width="9.77734375" bestFit="1" customWidth="1"/>
  </cols>
  <sheetData>
    <row r="1" spans="1:27" ht="14.4" customHeight="1" x14ac:dyDescent="0.3">
      <c r="A1" s="242"/>
      <c r="B1" s="242"/>
      <c r="C1" s="242"/>
      <c r="D1" s="242"/>
      <c r="E1" s="242"/>
      <c r="F1" s="242"/>
      <c r="G1" s="242"/>
      <c r="H1" s="242"/>
      <c r="I1" s="242"/>
      <c r="J1" s="65"/>
      <c r="K1" s="206" t="s">
        <v>109</v>
      </c>
      <c r="L1" s="206"/>
      <c r="M1" s="206"/>
      <c r="N1" s="206"/>
      <c r="O1" s="206"/>
      <c r="P1" s="206"/>
      <c r="Q1" s="157"/>
      <c r="R1" s="173"/>
      <c r="S1" s="173"/>
      <c r="T1" s="203" t="s">
        <v>17</v>
      </c>
      <c r="U1" s="203"/>
      <c r="V1" s="203"/>
      <c r="W1" s="203"/>
      <c r="X1" s="203"/>
      <c r="Y1" s="203"/>
    </row>
    <row r="2" spans="1:27" x14ac:dyDescent="0.3">
      <c r="A2" s="242"/>
      <c r="B2" s="242"/>
      <c r="C2" s="242"/>
      <c r="D2" s="242"/>
      <c r="E2" s="242"/>
      <c r="F2" s="242"/>
      <c r="G2" s="242"/>
      <c r="H2" s="242"/>
      <c r="I2" s="242"/>
      <c r="J2" s="65"/>
      <c r="K2" s="66">
        <v>2014</v>
      </c>
      <c r="L2" s="66">
        <v>2015</v>
      </c>
      <c r="M2" s="66">
        <v>2016</v>
      </c>
      <c r="N2" s="66">
        <v>2017</v>
      </c>
      <c r="O2" s="66">
        <v>2018</v>
      </c>
      <c r="P2" s="81">
        <v>2019</v>
      </c>
      <c r="Q2" s="66">
        <v>2020</v>
      </c>
      <c r="R2" s="81">
        <v>2021</v>
      </c>
      <c r="S2" s="69">
        <v>2022</v>
      </c>
      <c r="T2" s="47" t="s">
        <v>19</v>
      </c>
      <c r="U2" s="47" t="s">
        <v>20</v>
      </c>
      <c r="V2" s="47" t="s">
        <v>21</v>
      </c>
      <c r="W2" s="47" t="s">
        <v>22</v>
      </c>
      <c r="X2" s="47" t="s">
        <v>23</v>
      </c>
      <c r="Y2" s="47" t="s">
        <v>24</v>
      </c>
      <c r="Z2" s="47" t="s">
        <v>272</v>
      </c>
      <c r="AA2" s="47" t="s">
        <v>273</v>
      </c>
    </row>
    <row r="3" spans="1:27" x14ac:dyDescent="0.3">
      <c r="A3" s="239" t="s">
        <v>33</v>
      </c>
      <c r="B3" s="239"/>
      <c r="C3" s="239"/>
      <c r="D3" s="240" t="s">
        <v>110</v>
      </c>
      <c r="E3" s="240"/>
      <c r="F3" s="240"/>
      <c r="G3" s="240"/>
      <c r="H3" s="240"/>
      <c r="I3" s="241"/>
      <c r="J3" s="97" t="s">
        <v>26</v>
      </c>
      <c r="K3" s="98">
        <v>134959</v>
      </c>
      <c r="L3" s="98">
        <v>101100</v>
      </c>
      <c r="M3" s="98">
        <v>109548</v>
      </c>
      <c r="N3" s="98">
        <v>114721</v>
      </c>
      <c r="O3" s="99">
        <v>118824</v>
      </c>
      <c r="P3" s="99">
        <v>116919</v>
      </c>
      <c r="Q3" s="99">
        <v>126001</v>
      </c>
      <c r="R3" s="99">
        <v>127897</v>
      </c>
      <c r="S3" s="99">
        <v>124659</v>
      </c>
      <c r="T3" s="138">
        <f t="shared" ref="T3:Y3" si="0">(L3-K3)/K3</f>
        <v>-0.25088360168643808</v>
      </c>
      <c r="U3" s="138">
        <f t="shared" si="0"/>
        <v>8.3560830860534119E-2</v>
      </c>
      <c r="V3" s="138">
        <f t="shared" si="0"/>
        <v>4.7221309380362946E-2</v>
      </c>
      <c r="W3" s="138">
        <f t="shared" si="0"/>
        <v>3.5765029942207614E-2</v>
      </c>
      <c r="X3" s="138">
        <f t="shared" si="0"/>
        <v>-1.6032114724298122E-2</v>
      </c>
      <c r="Y3" s="138">
        <f t="shared" si="0"/>
        <v>7.7677708499046344E-2</v>
      </c>
      <c r="Z3" s="138">
        <f t="shared" ref="Z3:Z18" si="1">(R3-Q3)/Q3</f>
        <v>1.5047499623018865E-2</v>
      </c>
      <c r="AA3" s="138">
        <f t="shared" ref="AA3:AA18" si="2">(S3-R3)/R3</f>
        <v>-2.5317247472575587E-2</v>
      </c>
    </row>
    <row r="4" spans="1:27" x14ac:dyDescent="0.3">
      <c r="A4" s="239" t="s">
        <v>36</v>
      </c>
      <c r="B4" s="239"/>
      <c r="C4" s="239"/>
      <c r="D4" s="240" t="s">
        <v>111</v>
      </c>
      <c r="E4" s="240"/>
      <c r="F4" s="240"/>
      <c r="G4" s="240"/>
      <c r="H4" s="240"/>
      <c r="I4" s="241"/>
      <c r="J4" s="97" t="s">
        <v>29</v>
      </c>
      <c r="K4" s="98">
        <v>1259</v>
      </c>
      <c r="L4" s="98">
        <v>649</v>
      </c>
      <c r="M4" s="98">
        <v>324</v>
      </c>
      <c r="N4" s="100">
        <v>1097</v>
      </c>
      <c r="O4" s="99">
        <v>2673</v>
      </c>
      <c r="P4" s="99">
        <v>541</v>
      </c>
      <c r="Q4" s="99">
        <v>186</v>
      </c>
      <c r="R4" s="99">
        <v>57</v>
      </c>
      <c r="S4" s="99">
        <v>146</v>
      </c>
      <c r="T4" s="138">
        <f t="shared" ref="T4:T58" si="3">(L4-K4)/K4</f>
        <v>-0.48451151707704526</v>
      </c>
      <c r="U4" s="138">
        <f t="shared" ref="U4:U58" si="4">(M4-L4)/L4</f>
        <v>-0.50077041602465333</v>
      </c>
      <c r="V4" s="138">
        <f t="shared" ref="V4:V58" si="5">(N4-M4)/M4</f>
        <v>2.3858024691358026</v>
      </c>
      <c r="W4" s="138">
        <f t="shared" ref="W4:W58" si="6">(O4-N4)/N4</f>
        <v>1.4366453965360073</v>
      </c>
      <c r="X4" s="138">
        <f t="shared" ref="X4:Y58" si="7">(P4-O4)/O4</f>
        <v>-0.79760568649457542</v>
      </c>
      <c r="Y4" s="138">
        <f t="shared" si="7"/>
        <v>-0.65619223659889092</v>
      </c>
      <c r="Z4" s="138">
        <f t="shared" si="1"/>
        <v>-0.69354838709677424</v>
      </c>
      <c r="AA4" s="138">
        <f t="shared" si="2"/>
        <v>1.5614035087719298</v>
      </c>
    </row>
    <row r="5" spans="1:27" x14ac:dyDescent="0.3">
      <c r="A5" s="67" t="s">
        <v>27</v>
      </c>
      <c r="B5" s="231"/>
      <c r="C5" s="231"/>
      <c r="D5" s="232" t="s">
        <v>112</v>
      </c>
      <c r="E5" s="232"/>
      <c r="F5" s="232"/>
      <c r="G5" s="232"/>
      <c r="H5" s="232"/>
      <c r="I5" s="233"/>
      <c r="J5" s="101" t="s">
        <v>32</v>
      </c>
      <c r="K5" s="102">
        <f t="shared" ref="K5:P5" si="8">K6+K7+K8</f>
        <v>75811</v>
      </c>
      <c r="L5" s="102">
        <f t="shared" si="8"/>
        <v>73364</v>
      </c>
      <c r="M5" s="102">
        <f t="shared" si="8"/>
        <v>68691</v>
      </c>
      <c r="N5" s="102">
        <f t="shared" si="8"/>
        <v>62785</v>
      </c>
      <c r="O5" s="102">
        <f t="shared" si="8"/>
        <v>83069</v>
      </c>
      <c r="P5" s="102">
        <f t="shared" si="8"/>
        <v>63214</v>
      </c>
      <c r="Q5" s="102">
        <v>79029</v>
      </c>
      <c r="R5" s="102">
        <v>82884</v>
      </c>
      <c r="S5" s="102">
        <v>84852</v>
      </c>
      <c r="T5" s="139">
        <f t="shared" si="3"/>
        <v>-3.2277637809816517E-2</v>
      </c>
      <c r="U5" s="139">
        <f t="shared" si="4"/>
        <v>-6.3696090725696528E-2</v>
      </c>
      <c r="V5" s="139">
        <f t="shared" si="5"/>
        <v>-8.5979240366277965E-2</v>
      </c>
      <c r="W5" s="139">
        <f t="shared" si="6"/>
        <v>0.32307079716492793</v>
      </c>
      <c r="X5" s="139">
        <f t="shared" si="7"/>
        <v>-0.23901816562135092</v>
      </c>
      <c r="Y5" s="139">
        <f t="shared" si="7"/>
        <v>0.25018192172619991</v>
      </c>
      <c r="Z5" s="139">
        <f t="shared" si="1"/>
        <v>4.8779561932961318E-2</v>
      </c>
      <c r="AA5" s="139">
        <f t="shared" si="2"/>
        <v>2.3744027797886202E-2</v>
      </c>
    </row>
    <row r="6" spans="1:27" x14ac:dyDescent="0.3">
      <c r="A6" s="228" t="s">
        <v>113</v>
      </c>
      <c r="B6" s="228"/>
      <c r="C6" s="228"/>
      <c r="D6" s="223" t="s">
        <v>114</v>
      </c>
      <c r="E6" s="223"/>
      <c r="F6" s="223"/>
      <c r="G6" s="223"/>
      <c r="H6" s="223"/>
      <c r="I6" s="224"/>
      <c r="J6" s="103" t="s">
        <v>35</v>
      </c>
      <c r="K6" s="104">
        <v>847</v>
      </c>
      <c r="L6" s="104">
        <v>408</v>
      </c>
      <c r="M6" s="105">
        <v>278</v>
      </c>
      <c r="N6" s="54">
        <v>1026</v>
      </c>
      <c r="O6" s="106">
        <v>2548</v>
      </c>
      <c r="P6" s="106">
        <v>551</v>
      </c>
      <c r="Q6" s="106">
        <v>251</v>
      </c>
      <c r="R6" s="106">
        <v>43</v>
      </c>
      <c r="S6" s="106">
        <v>50</v>
      </c>
      <c r="T6" s="140">
        <f t="shared" si="3"/>
        <v>-0.51829988193624554</v>
      </c>
      <c r="U6" s="140">
        <f t="shared" si="4"/>
        <v>-0.31862745098039214</v>
      </c>
      <c r="V6" s="140">
        <f t="shared" si="5"/>
        <v>2.6906474820143886</v>
      </c>
      <c r="W6" s="140">
        <f t="shared" si="6"/>
        <v>1.4834307992202729</v>
      </c>
      <c r="X6" s="140">
        <f t="shared" si="7"/>
        <v>-0.78375196232339095</v>
      </c>
      <c r="Y6" s="140">
        <f t="shared" si="7"/>
        <v>-0.54446460980036293</v>
      </c>
      <c r="Z6" s="140">
        <f t="shared" si="1"/>
        <v>-0.82868525896414347</v>
      </c>
      <c r="AA6" s="140">
        <f t="shared" si="2"/>
        <v>0.16279069767441862</v>
      </c>
    </row>
    <row r="7" spans="1:27" x14ac:dyDescent="0.3">
      <c r="A7" s="68"/>
      <c r="B7" s="69" t="s">
        <v>115</v>
      </c>
      <c r="C7" s="70"/>
      <c r="D7" s="223" t="s">
        <v>116</v>
      </c>
      <c r="E7" s="223"/>
      <c r="F7" s="223"/>
      <c r="G7" s="223"/>
      <c r="H7" s="223"/>
      <c r="I7" s="224"/>
      <c r="J7" s="103" t="s">
        <v>117</v>
      </c>
      <c r="K7" s="104">
        <v>51232</v>
      </c>
      <c r="L7" s="104">
        <v>53968</v>
      </c>
      <c r="M7" s="107">
        <v>49340</v>
      </c>
      <c r="N7" s="54">
        <v>40604</v>
      </c>
      <c r="O7" s="106">
        <v>57828</v>
      </c>
      <c r="P7" s="106">
        <v>40937</v>
      </c>
      <c r="Q7" s="106">
        <v>56588</v>
      </c>
      <c r="R7" s="106">
        <v>61004</v>
      </c>
      <c r="S7" s="106">
        <v>57545</v>
      </c>
      <c r="T7" s="140">
        <f t="shared" si="3"/>
        <v>5.3404122423485322E-2</v>
      </c>
      <c r="U7" s="140">
        <f t="shared" si="4"/>
        <v>-8.5754521197746819E-2</v>
      </c>
      <c r="V7" s="140">
        <f t="shared" si="5"/>
        <v>-0.17705715443858938</v>
      </c>
      <c r="W7" s="140">
        <f t="shared" si="6"/>
        <v>0.42419466062456901</v>
      </c>
      <c r="X7" s="140">
        <f t="shared" si="7"/>
        <v>-0.29209033686103619</v>
      </c>
      <c r="Y7" s="140">
        <f t="shared" si="7"/>
        <v>0.38231917336394949</v>
      </c>
      <c r="Z7" s="140">
        <f t="shared" si="1"/>
        <v>7.8037746518696549E-2</v>
      </c>
      <c r="AA7" s="140">
        <f t="shared" si="2"/>
        <v>-5.6701199921316635E-2</v>
      </c>
    </row>
    <row r="8" spans="1:27" x14ac:dyDescent="0.3">
      <c r="A8" s="68"/>
      <c r="B8" s="69" t="s">
        <v>118</v>
      </c>
      <c r="C8" s="70"/>
      <c r="D8" s="223" t="s">
        <v>119</v>
      </c>
      <c r="E8" s="223"/>
      <c r="F8" s="223"/>
      <c r="G8" s="223"/>
      <c r="H8" s="223"/>
      <c r="I8" s="224"/>
      <c r="J8" s="103" t="s">
        <v>120</v>
      </c>
      <c r="K8" s="104">
        <v>23732</v>
      </c>
      <c r="L8" s="104">
        <v>18988</v>
      </c>
      <c r="M8" s="108">
        <v>19073</v>
      </c>
      <c r="N8" s="54">
        <v>21155</v>
      </c>
      <c r="O8" s="106">
        <v>22693</v>
      </c>
      <c r="P8" s="106">
        <v>21726</v>
      </c>
      <c r="Q8" s="106">
        <v>22190</v>
      </c>
      <c r="R8" s="106">
        <v>21837</v>
      </c>
      <c r="S8" s="106">
        <v>27257</v>
      </c>
      <c r="T8" s="140">
        <f t="shared" si="3"/>
        <v>-0.19989887072307433</v>
      </c>
      <c r="U8" s="140">
        <f t="shared" si="4"/>
        <v>4.4765114809353279E-3</v>
      </c>
      <c r="V8" s="140">
        <f t="shared" si="5"/>
        <v>0.10915954490641221</v>
      </c>
      <c r="W8" s="140">
        <f t="shared" si="6"/>
        <v>7.2701489009690382E-2</v>
      </c>
      <c r="X8" s="140">
        <f t="shared" si="7"/>
        <v>-4.2612259287004801E-2</v>
      </c>
      <c r="Y8" s="140">
        <f t="shared" si="7"/>
        <v>2.1356899567338671E-2</v>
      </c>
      <c r="Z8" s="140">
        <f t="shared" si="1"/>
        <v>-1.590806669671023E-2</v>
      </c>
      <c r="AA8" s="140">
        <f t="shared" si="2"/>
        <v>0.24820259193112607</v>
      </c>
    </row>
    <row r="9" spans="1:27" x14ac:dyDescent="0.3">
      <c r="A9" s="67" t="s">
        <v>30</v>
      </c>
      <c r="B9" s="231"/>
      <c r="C9" s="231"/>
      <c r="D9" s="232" t="s">
        <v>121</v>
      </c>
      <c r="E9" s="232"/>
      <c r="F9" s="232"/>
      <c r="G9" s="232"/>
      <c r="H9" s="232"/>
      <c r="I9" s="233"/>
      <c r="J9" s="101" t="s">
        <v>122</v>
      </c>
      <c r="K9" s="109">
        <v>15232</v>
      </c>
      <c r="L9" s="109">
        <v>-15738</v>
      </c>
      <c r="M9" s="109">
        <v>-7091</v>
      </c>
      <c r="N9" s="109">
        <v>3616</v>
      </c>
      <c r="O9" s="109">
        <v>-12282</v>
      </c>
      <c r="P9" s="109">
        <v>7505</v>
      </c>
      <c r="Q9" s="109">
        <v>-7040</v>
      </c>
      <c r="R9" s="109">
        <v>-8957</v>
      </c>
      <c r="S9" s="109">
        <v>-9476</v>
      </c>
      <c r="T9" s="141">
        <f t="shared" si="3"/>
        <v>-2.0332195378151261</v>
      </c>
      <c r="U9" s="141">
        <f t="shared" si="4"/>
        <v>-0.54943448976998344</v>
      </c>
      <c r="V9" s="141">
        <f t="shared" si="5"/>
        <v>-1.5099421802284587</v>
      </c>
      <c r="W9" s="141">
        <f t="shared" si="6"/>
        <v>-4.3965707964601766</v>
      </c>
      <c r="X9" s="141">
        <f t="shared" si="7"/>
        <v>-1.6110568311349942</v>
      </c>
      <c r="Y9" s="141">
        <f t="shared" si="7"/>
        <v>-1.9380413057961359</v>
      </c>
      <c r="Z9" s="141">
        <f t="shared" si="1"/>
        <v>0.27230113636363634</v>
      </c>
      <c r="AA9" s="141">
        <f t="shared" si="2"/>
        <v>5.794350787093893E-2</v>
      </c>
    </row>
    <row r="10" spans="1:27" x14ac:dyDescent="0.3">
      <c r="A10" s="71" t="s">
        <v>39</v>
      </c>
      <c r="B10" s="238"/>
      <c r="C10" s="238"/>
      <c r="D10" s="232" t="s">
        <v>123</v>
      </c>
      <c r="E10" s="232"/>
      <c r="F10" s="232"/>
      <c r="G10" s="232"/>
      <c r="H10" s="232"/>
      <c r="I10" s="233"/>
      <c r="J10" s="101" t="s">
        <v>98</v>
      </c>
      <c r="K10" s="109">
        <v>-847</v>
      </c>
      <c r="L10" s="109">
        <v>-252</v>
      </c>
      <c r="M10" s="109">
        <v>-385</v>
      </c>
      <c r="N10" s="109">
        <v>-123</v>
      </c>
      <c r="O10" s="109">
        <v>-148</v>
      </c>
      <c r="P10" s="109">
        <v>-128</v>
      </c>
      <c r="Q10" s="109">
        <v>-512</v>
      </c>
      <c r="R10" s="109">
        <v>-333</v>
      </c>
      <c r="S10" s="109">
        <v>-352</v>
      </c>
      <c r="T10" s="141">
        <f t="shared" si="3"/>
        <v>-0.7024793388429752</v>
      </c>
      <c r="U10" s="141">
        <f t="shared" si="4"/>
        <v>0.52777777777777779</v>
      </c>
      <c r="V10" s="141">
        <f t="shared" si="5"/>
        <v>-0.68051948051948052</v>
      </c>
      <c r="W10" s="141">
        <f t="shared" si="6"/>
        <v>0.2032520325203252</v>
      </c>
      <c r="X10" s="141">
        <f t="shared" si="7"/>
        <v>-0.13513513513513514</v>
      </c>
      <c r="Y10" s="141">
        <f t="shared" si="7"/>
        <v>3</v>
      </c>
      <c r="Z10" s="141">
        <f t="shared" si="1"/>
        <v>-0.349609375</v>
      </c>
      <c r="AA10" s="141">
        <f t="shared" si="2"/>
        <v>5.7057057057057055E-2</v>
      </c>
    </row>
    <row r="11" spans="1:27" x14ac:dyDescent="0.3">
      <c r="A11" s="67" t="s">
        <v>56</v>
      </c>
      <c r="B11" s="231"/>
      <c r="C11" s="231"/>
      <c r="D11" s="232" t="s">
        <v>124</v>
      </c>
      <c r="E11" s="232"/>
      <c r="F11" s="232"/>
      <c r="G11" s="232"/>
      <c r="H11" s="232"/>
      <c r="I11" s="233"/>
      <c r="J11" s="101" t="s">
        <v>125</v>
      </c>
      <c r="K11" s="110">
        <f t="shared" ref="K11:P11" si="9">K12+K13</f>
        <v>19032</v>
      </c>
      <c r="L11" s="110">
        <f t="shared" si="9"/>
        <v>19467</v>
      </c>
      <c r="M11" s="110">
        <f t="shared" si="9"/>
        <v>19689</v>
      </c>
      <c r="N11" s="110">
        <f t="shared" si="9"/>
        <v>22817</v>
      </c>
      <c r="O11" s="110">
        <f t="shared" si="9"/>
        <v>24020</v>
      </c>
      <c r="P11" s="110">
        <f t="shared" si="9"/>
        <v>24890</v>
      </c>
      <c r="Q11" s="110">
        <v>24061</v>
      </c>
      <c r="R11" s="110">
        <v>25392</v>
      </c>
      <c r="S11" s="110">
        <v>26420</v>
      </c>
      <c r="T11" s="142">
        <f t="shared" si="3"/>
        <v>2.28562421185372E-2</v>
      </c>
      <c r="U11" s="142">
        <f t="shared" si="4"/>
        <v>1.1403914316535676E-2</v>
      </c>
      <c r="V11" s="142">
        <f t="shared" si="5"/>
        <v>0.15887043526842398</v>
      </c>
      <c r="W11" s="142">
        <f t="shared" si="6"/>
        <v>5.2723846254985315E-2</v>
      </c>
      <c r="X11" s="142">
        <f t="shared" si="7"/>
        <v>3.6219816819317234E-2</v>
      </c>
      <c r="Y11" s="142">
        <f t="shared" si="7"/>
        <v>-3.3306548814785057E-2</v>
      </c>
      <c r="Z11" s="142">
        <f t="shared" si="1"/>
        <v>5.5317734092514857E-2</v>
      </c>
      <c r="AA11" s="142">
        <f t="shared" si="2"/>
        <v>4.0485192186515438E-2</v>
      </c>
    </row>
    <row r="12" spans="1:27" x14ac:dyDescent="0.3">
      <c r="A12" s="68"/>
      <c r="B12" s="69" t="s">
        <v>113</v>
      </c>
      <c r="C12" s="70"/>
      <c r="D12" s="223" t="s">
        <v>126</v>
      </c>
      <c r="E12" s="223"/>
      <c r="F12" s="223"/>
      <c r="G12" s="223"/>
      <c r="H12" s="223"/>
      <c r="I12" s="224"/>
      <c r="J12" s="103" t="s">
        <v>127</v>
      </c>
      <c r="K12" s="104">
        <v>13865</v>
      </c>
      <c r="L12" s="104">
        <v>14096</v>
      </c>
      <c r="M12" s="111">
        <v>14313</v>
      </c>
      <c r="N12" s="106">
        <v>16497</v>
      </c>
      <c r="O12" s="106">
        <v>17289</v>
      </c>
      <c r="P12" s="106">
        <v>18011</v>
      </c>
      <c r="Q12" s="106">
        <v>17977</v>
      </c>
      <c r="R12" s="106">
        <v>18392</v>
      </c>
      <c r="S12" s="106">
        <v>19108</v>
      </c>
      <c r="T12" s="140">
        <f t="shared" si="3"/>
        <v>1.6660656328885682E-2</v>
      </c>
      <c r="U12" s="140">
        <f t="shared" si="4"/>
        <v>1.5394438138479001E-2</v>
      </c>
      <c r="V12" s="140">
        <f t="shared" si="5"/>
        <v>0.15258855585831063</v>
      </c>
      <c r="W12" s="140">
        <f t="shared" si="6"/>
        <v>4.8008728859792689E-2</v>
      </c>
      <c r="X12" s="140">
        <f t="shared" si="7"/>
        <v>4.1760657065185953E-2</v>
      </c>
      <c r="Y12" s="140">
        <f t="shared" si="7"/>
        <v>-1.8877352728887901E-3</v>
      </c>
      <c r="Z12" s="140">
        <f t="shared" si="1"/>
        <v>2.3085053123435503E-2</v>
      </c>
      <c r="AA12" s="140">
        <f t="shared" si="2"/>
        <v>3.8929969551979124E-2</v>
      </c>
    </row>
    <row r="13" spans="1:27" x14ac:dyDescent="0.3">
      <c r="A13" s="68"/>
      <c r="B13" s="69" t="s">
        <v>115</v>
      </c>
      <c r="C13" s="70"/>
      <c r="D13" s="234" t="s">
        <v>128</v>
      </c>
      <c r="E13" s="234"/>
      <c r="F13" s="234"/>
      <c r="G13" s="234"/>
      <c r="H13" s="234"/>
      <c r="I13" s="235"/>
      <c r="J13" s="112" t="s">
        <v>129</v>
      </c>
      <c r="K13" s="113">
        <f t="shared" ref="K13:P13" si="10">K14+K15</f>
        <v>5167</v>
      </c>
      <c r="L13" s="113">
        <f t="shared" si="10"/>
        <v>5371</v>
      </c>
      <c r="M13" s="113">
        <f t="shared" si="10"/>
        <v>5376</v>
      </c>
      <c r="N13" s="113">
        <f t="shared" si="10"/>
        <v>6320</v>
      </c>
      <c r="O13" s="113">
        <f t="shared" si="10"/>
        <v>6731</v>
      </c>
      <c r="P13" s="113">
        <f t="shared" si="10"/>
        <v>6879</v>
      </c>
      <c r="Q13" s="113">
        <v>6084</v>
      </c>
      <c r="R13" s="113">
        <v>7000</v>
      </c>
      <c r="S13" s="113">
        <v>7312</v>
      </c>
      <c r="T13" s="143">
        <f t="shared" si="3"/>
        <v>3.9481323785562225E-2</v>
      </c>
      <c r="U13" s="143">
        <f t="shared" si="4"/>
        <v>9.3092533978774903E-4</v>
      </c>
      <c r="V13" s="143">
        <f t="shared" si="5"/>
        <v>0.17559523809523808</v>
      </c>
      <c r="W13" s="143">
        <f t="shared" si="6"/>
        <v>6.5031645569620253E-2</v>
      </c>
      <c r="X13" s="143">
        <f t="shared" si="7"/>
        <v>2.198781756054078E-2</v>
      </c>
      <c r="Y13" s="143">
        <f t="shared" si="7"/>
        <v>-0.11556912341910161</v>
      </c>
      <c r="Z13" s="143">
        <f t="shared" si="1"/>
        <v>0.15055884286653518</v>
      </c>
      <c r="AA13" s="143">
        <f t="shared" si="2"/>
        <v>4.4571428571428574E-2</v>
      </c>
    </row>
    <row r="14" spans="1:27" x14ac:dyDescent="0.3">
      <c r="A14" s="68"/>
      <c r="B14" s="69" t="s">
        <v>115</v>
      </c>
      <c r="C14" s="70">
        <v>1</v>
      </c>
      <c r="D14" s="223" t="s">
        <v>130</v>
      </c>
      <c r="E14" s="223"/>
      <c r="F14" s="223"/>
      <c r="G14" s="223"/>
      <c r="H14" s="223"/>
      <c r="I14" s="224"/>
      <c r="J14" s="103" t="s">
        <v>131</v>
      </c>
      <c r="K14" s="104">
        <v>4666</v>
      </c>
      <c r="L14" s="104">
        <v>4757</v>
      </c>
      <c r="M14" s="107">
        <v>4762</v>
      </c>
      <c r="N14" s="106">
        <v>5514</v>
      </c>
      <c r="O14" s="106">
        <v>5788</v>
      </c>
      <c r="P14" s="106">
        <v>5992</v>
      </c>
      <c r="Q14" s="106">
        <v>5224</v>
      </c>
      <c r="R14" s="106">
        <v>6045</v>
      </c>
      <c r="S14" s="106">
        <v>6278</v>
      </c>
      <c r="T14" s="140">
        <f t="shared" si="3"/>
        <v>1.9502786112301756E-2</v>
      </c>
      <c r="U14" s="140">
        <f t="shared" si="4"/>
        <v>1.0510826150935463E-3</v>
      </c>
      <c r="V14" s="140">
        <f t="shared" si="5"/>
        <v>0.15791684166316675</v>
      </c>
      <c r="W14" s="140">
        <f t="shared" si="6"/>
        <v>4.9691693870148712E-2</v>
      </c>
      <c r="X14" s="140">
        <f t="shared" si="7"/>
        <v>3.5245335176226675E-2</v>
      </c>
      <c r="Y14" s="140">
        <f t="shared" si="7"/>
        <v>-0.12817089452603472</v>
      </c>
      <c r="Z14" s="140">
        <f t="shared" si="1"/>
        <v>0.15715926493108728</v>
      </c>
      <c r="AA14" s="140">
        <f t="shared" si="2"/>
        <v>3.8544251447477251E-2</v>
      </c>
    </row>
    <row r="15" spans="1:27" x14ac:dyDescent="0.3">
      <c r="A15" s="72"/>
      <c r="B15" s="73" t="s">
        <v>115</v>
      </c>
      <c r="C15" s="74">
        <v>2</v>
      </c>
      <c r="D15" s="223" t="s">
        <v>132</v>
      </c>
      <c r="E15" s="223"/>
      <c r="F15" s="223"/>
      <c r="G15" s="223"/>
      <c r="H15" s="223"/>
      <c r="I15" s="224"/>
      <c r="J15" s="103" t="s">
        <v>133</v>
      </c>
      <c r="K15" s="104">
        <v>501</v>
      </c>
      <c r="L15" s="104">
        <v>614</v>
      </c>
      <c r="M15" s="107">
        <v>614</v>
      </c>
      <c r="N15" s="106">
        <v>806</v>
      </c>
      <c r="O15" s="106">
        <v>943</v>
      </c>
      <c r="P15" s="106">
        <v>887</v>
      </c>
      <c r="Q15" s="106">
        <v>860</v>
      </c>
      <c r="R15" s="106">
        <v>955</v>
      </c>
      <c r="S15" s="106">
        <v>1034</v>
      </c>
      <c r="T15" s="140">
        <f t="shared" si="3"/>
        <v>0.22554890219560877</v>
      </c>
      <c r="U15" s="140">
        <f t="shared" si="4"/>
        <v>0</v>
      </c>
      <c r="V15" s="140">
        <f t="shared" si="5"/>
        <v>0.31270358306188922</v>
      </c>
      <c r="W15" s="140">
        <f t="shared" si="6"/>
        <v>0.16997518610421836</v>
      </c>
      <c r="X15" s="140">
        <f t="shared" si="7"/>
        <v>-5.9384941675503712E-2</v>
      </c>
      <c r="Y15" s="140">
        <f t="shared" si="7"/>
        <v>-3.0439684329199548E-2</v>
      </c>
      <c r="Z15" s="140">
        <f t="shared" si="1"/>
        <v>0.11046511627906977</v>
      </c>
      <c r="AA15" s="140">
        <f t="shared" si="2"/>
        <v>8.2722513089005231E-2</v>
      </c>
    </row>
    <row r="16" spans="1:27" x14ac:dyDescent="0.3">
      <c r="A16" s="67" t="s">
        <v>134</v>
      </c>
      <c r="B16" s="231"/>
      <c r="C16" s="231"/>
      <c r="D16" s="232" t="s">
        <v>135</v>
      </c>
      <c r="E16" s="232"/>
      <c r="F16" s="232"/>
      <c r="G16" s="232"/>
      <c r="H16" s="232"/>
      <c r="I16" s="233"/>
      <c r="J16" s="101" t="s">
        <v>38</v>
      </c>
      <c r="K16" s="110">
        <f t="shared" ref="K16:P16" si="11">+K17+K20+K21</f>
        <v>11437</v>
      </c>
      <c r="L16" s="110">
        <f t="shared" si="11"/>
        <v>12316</v>
      </c>
      <c r="M16" s="110">
        <f t="shared" si="11"/>
        <v>14173</v>
      </c>
      <c r="N16" s="110">
        <f t="shared" si="11"/>
        <v>16034</v>
      </c>
      <c r="O16" s="110">
        <f t="shared" si="11"/>
        <v>17745</v>
      </c>
      <c r="P16" s="110">
        <f t="shared" si="11"/>
        <v>17213</v>
      </c>
      <c r="Q16" s="110">
        <v>14350</v>
      </c>
      <c r="R16" s="110">
        <v>16255</v>
      </c>
      <c r="S16" s="110">
        <v>14273</v>
      </c>
      <c r="T16" s="142">
        <f t="shared" si="3"/>
        <v>7.6855818833610215E-2</v>
      </c>
      <c r="U16" s="142">
        <f t="shared" si="4"/>
        <v>0.15077947385514778</v>
      </c>
      <c r="V16" s="142">
        <f t="shared" si="5"/>
        <v>0.13130600437451492</v>
      </c>
      <c r="W16" s="142">
        <f t="shared" si="6"/>
        <v>0.10671073967818386</v>
      </c>
      <c r="X16" s="142">
        <f t="shared" si="7"/>
        <v>-2.9980276134122286E-2</v>
      </c>
      <c r="Y16" s="142">
        <f t="shared" si="7"/>
        <v>-0.16632777551850345</v>
      </c>
      <c r="Z16" s="142">
        <f t="shared" si="1"/>
        <v>0.13275261324041812</v>
      </c>
      <c r="AA16" s="142">
        <f t="shared" si="2"/>
        <v>-0.12193171331897877</v>
      </c>
    </row>
    <row r="17" spans="1:27" x14ac:dyDescent="0.3">
      <c r="A17" s="68"/>
      <c r="B17" s="69" t="s">
        <v>113</v>
      </c>
      <c r="C17" s="70"/>
      <c r="D17" s="236" t="s">
        <v>136</v>
      </c>
      <c r="E17" s="236"/>
      <c r="F17" s="236"/>
      <c r="G17" s="236"/>
      <c r="H17" s="236"/>
      <c r="I17" s="237"/>
      <c r="J17" s="112" t="s">
        <v>137</v>
      </c>
      <c r="K17" s="113">
        <f t="shared" ref="K17:P17" si="12">K18+K19</f>
        <v>11437</v>
      </c>
      <c r="L17" s="113">
        <f t="shared" si="12"/>
        <v>12139</v>
      </c>
      <c r="M17" s="113">
        <f t="shared" si="12"/>
        <v>12494</v>
      </c>
      <c r="N17" s="113">
        <f t="shared" si="12"/>
        <v>14575</v>
      </c>
      <c r="O17" s="113">
        <f t="shared" si="12"/>
        <v>15458</v>
      </c>
      <c r="P17" s="113">
        <f t="shared" si="12"/>
        <v>14340</v>
      </c>
      <c r="Q17" s="113">
        <v>12900</v>
      </c>
      <c r="R17" s="113">
        <v>14012</v>
      </c>
      <c r="S17" s="113">
        <v>13904</v>
      </c>
      <c r="T17" s="143">
        <f t="shared" si="3"/>
        <v>6.1379732447320104E-2</v>
      </c>
      <c r="U17" s="143">
        <f t="shared" si="4"/>
        <v>2.9244583573605733E-2</v>
      </c>
      <c r="V17" s="143">
        <f t="shared" si="5"/>
        <v>0.16655994877541219</v>
      </c>
      <c r="W17" s="143">
        <f t="shared" si="6"/>
        <v>6.0583190394511148E-2</v>
      </c>
      <c r="X17" s="143">
        <f t="shared" si="7"/>
        <v>-7.2325009703713292E-2</v>
      </c>
      <c r="Y17" s="143">
        <f t="shared" si="7"/>
        <v>-0.100418410041841</v>
      </c>
      <c r="Z17" s="143">
        <f t="shared" si="1"/>
        <v>8.6201550387596901E-2</v>
      </c>
      <c r="AA17" s="143">
        <f t="shared" si="2"/>
        <v>-7.7076791321724234E-3</v>
      </c>
    </row>
    <row r="18" spans="1:27" x14ac:dyDescent="0.3">
      <c r="A18" s="68"/>
      <c r="B18" s="69" t="s">
        <v>113</v>
      </c>
      <c r="C18" s="70">
        <v>1</v>
      </c>
      <c r="D18" s="223" t="s">
        <v>138</v>
      </c>
      <c r="E18" s="223"/>
      <c r="F18" s="223"/>
      <c r="G18" s="223"/>
      <c r="H18" s="223"/>
      <c r="I18" s="224"/>
      <c r="J18" s="103" t="s">
        <v>139</v>
      </c>
      <c r="K18" s="114">
        <v>11437</v>
      </c>
      <c r="L18" s="114">
        <v>12139</v>
      </c>
      <c r="M18" s="114">
        <v>12494</v>
      </c>
      <c r="N18" s="106">
        <v>14973</v>
      </c>
      <c r="O18" s="106">
        <v>15458</v>
      </c>
      <c r="P18" s="54">
        <v>14340</v>
      </c>
      <c r="Q18" s="54">
        <v>12900</v>
      </c>
      <c r="R18" s="54">
        <v>14012</v>
      </c>
      <c r="S18" s="54">
        <v>13869</v>
      </c>
      <c r="T18" s="135">
        <f t="shared" si="3"/>
        <v>6.1379732447320104E-2</v>
      </c>
      <c r="U18" s="135">
        <f t="shared" si="4"/>
        <v>2.9244583573605733E-2</v>
      </c>
      <c r="V18" s="135">
        <f t="shared" si="5"/>
        <v>0.19841523931487115</v>
      </c>
      <c r="W18" s="135">
        <f t="shared" si="6"/>
        <v>3.239163828224137E-2</v>
      </c>
      <c r="X18" s="135">
        <f t="shared" si="7"/>
        <v>-7.2325009703713292E-2</v>
      </c>
      <c r="Y18" s="135">
        <f t="shared" si="7"/>
        <v>-0.100418410041841</v>
      </c>
      <c r="Z18" s="135">
        <f t="shared" si="1"/>
        <v>8.6201550387596901E-2</v>
      </c>
      <c r="AA18" s="135">
        <f t="shared" si="2"/>
        <v>-1.0205538110191264E-2</v>
      </c>
    </row>
    <row r="19" spans="1:27" x14ac:dyDescent="0.3">
      <c r="A19" s="68"/>
      <c r="B19" s="69" t="s">
        <v>113</v>
      </c>
      <c r="C19" s="70">
        <v>2</v>
      </c>
      <c r="D19" s="223" t="s">
        <v>140</v>
      </c>
      <c r="E19" s="223"/>
      <c r="F19" s="223"/>
      <c r="G19" s="223"/>
      <c r="H19" s="223"/>
      <c r="I19" s="224"/>
      <c r="J19" s="103" t="s">
        <v>141</v>
      </c>
      <c r="K19" s="114"/>
      <c r="L19" s="114"/>
      <c r="M19" s="114">
        <v>0</v>
      </c>
      <c r="N19" s="106">
        <v>-398</v>
      </c>
      <c r="O19" s="106"/>
      <c r="P19" s="54"/>
      <c r="Q19" s="54"/>
      <c r="R19" s="54"/>
      <c r="S19" s="54">
        <v>35</v>
      </c>
      <c r="T19" s="135">
        <v>0</v>
      </c>
      <c r="U19" s="135">
        <v>0</v>
      </c>
      <c r="V19" s="135">
        <v>0</v>
      </c>
      <c r="W19" s="135">
        <f t="shared" si="6"/>
        <v>-1</v>
      </c>
      <c r="X19" s="135">
        <v>0</v>
      </c>
      <c r="Y19" s="135">
        <v>0</v>
      </c>
      <c r="Z19" s="135">
        <v>0</v>
      </c>
      <c r="AA19" s="135">
        <v>0</v>
      </c>
    </row>
    <row r="20" spans="1:27" x14ac:dyDescent="0.3">
      <c r="A20" s="68"/>
      <c r="B20" s="69" t="s">
        <v>115</v>
      </c>
      <c r="C20" s="70"/>
      <c r="D20" s="223" t="s">
        <v>142</v>
      </c>
      <c r="E20" s="223"/>
      <c r="F20" s="223"/>
      <c r="G20" s="223"/>
      <c r="H20" s="223"/>
      <c r="I20" s="224"/>
      <c r="J20" s="103" t="s">
        <v>143</v>
      </c>
      <c r="K20" s="114">
        <v>0</v>
      </c>
      <c r="L20" s="114">
        <v>46</v>
      </c>
      <c r="M20" s="114">
        <v>1728</v>
      </c>
      <c r="N20" s="106">
        <v>1739</v>
      </c>
      <c r="O20" s="106">
        <v>1643</v>
      </c>
      <c r="P20" s="54">
        <v>2669</v>
      </c>
      <c r="Q20" s="54">
        <v>1567</v>
      </c>
      <c r="R20" s="54">
        <v>1051</v>
      </c>
      <c r="S20" s="54">
        <v>1008</v>
      </c>
      <c r="T20" s="135">
        <v>1</v>
      </c>
      <c r="U20" s="135">
        <f t="shared" si="4"/>
        <v>36.565217391304351</v>
      </c>
      <c r="V20" s="135">
        <f t="shared" si="5"/>
        <v>6.3657407407407404E-3</v>
      </c>
      <c r="W20" s="135">
        <f t="shared" si="6"/>
        <v>-5.5204140310523286E-2</v>
      </c>
      <c r="X20" s="135">
        <f t="shared" si="7"/>
        <v>0.62446743761412049</v>
      </c>
      <c r="Y20" s="135">
        <f t="shared" si="7"/>
        <v>-0.41288872236792806</v>
      </c>
      <c r="Z20" s="135">
        <f t="shared" ref="Z20:Z58" si="13">(R20-Q20)/Q20</f>
        <v>-0.32929164007657946</v>
      </c>
      <c r="AA20" s="135">
        <f t="shared" ref="AA20:AA58" si="14">(S20-R20)/R20</f>
        <v>-4.0913415794481447E-2</v>
      </c>
    </row>
    <row r="21" spans="1:27" x14ac:dyDescent="0.3">
      <c r="A21" s="72"/>
      <c r="B21" s="73" t="s">
        <v>118</v>
      </c>
      <c r="C21" s="74"/>
      <c r="D21" s="223" t="s">
        <v>144</v>
      </c>
      <c r="E21" s="223"/>
      <c r="F21" s="223"/>
      <c r="G21" s="223"/>
      <c r="H21" s="223"/>
      <c r="I21" s="224"/>
      <c r="J21" s="103" t="s">
        <v>145</v>
      </c>
      <c r="K21" s="114">
        <v>0</v>
      </c>
      <c r="L21" s="114">
        <v>131</v>
      </c>
      <c r="M21" s="114">
        <v>-49</v>
      </c>
      <c r="N21" s="106">
        <v>-280</v>
      </c>
      <c r="O21" s="106">
        <v>644</v>
      </c>
      <c r="P21" s="54">
        <v>204</v>
      </c>
      <c r="Q21" s="54">
        <v>-117</v>
      </c>
      <c r="R21" s="54">
        <v>1192</v>
      </c>
      <c r="S21" s="54">
        <v>-639</v>
      </c>
      <c r="T21" s="135">
        <v>1</v>
      </c>
      <c r="U21" s="135">
        <f t="shared" si="4"/>
        <v>-1.3740458015267176</v>
      </c>
      <c r="V21" s="135">
        <f t="shared" si="5"/>
        <v>4.7142857142857144</v>
      </c>
      <c r="W21" s="135">
        <f t="shared" si="6"/>
        <v>-3.3</v>
      </c>
      <c r="X21" s="135">
        <f t="shared" si="7"/>
        <v>-0.68322981366459623</v>
      </c>
      <c r="Y21" s="135">
        <f t="shared" si="7"/>
        <v>-1.5735294117647058</v>
      </c>
      <c r="Z21" s="135">
        <f>(R21-Q21)/Q21</f>
        <v>-11.188034188034187</v>
      </c>
      <c r="AA21" s="135">
        <f t="shared" si="14"/>
        <v>-1.5360738255033557</v>
      </c>
    </row>
    <row r="22" spans="1:27" x14ac:dyDescent="0.3">
      <c r="A22" s="228" t="s">
        <v>50</v>
      </c>
      <c r="B22" s="228"/>
      <c r="C22" s="228"/>
      <c r="D22" s="229" t="s">
        <v>146</v>
      </c>
      <c r="E22" s="229"/>
      <c r="F22" s="229"/>
      <c r="G22" s="229"/>
      <c r="H22" s="229"/>
      <c r="I22" s="230"/>
      <c r="J22" s="115" t="s">
        <v>147</v>
      </c>
      <c r="K22" s="116">
        <f t="shared" ref="K22:P22" si="15">K23+K24+K25</f>
        <v>1130</v>
      </c>
      <c r="L22" s="116">
        <f t="shared" si="15"/>
        <v>887</v>
      </c>
      <c r="M22" s="116">
        <f t="shared" si="15"/>
        <v>368</v>
      </c>
      <c r="N22" s="116">
        <f t="shared" si="15"/>
        <v>2015</v>
      </c>
      <c r="O22" s="116">
        <f t="shared" si="15"/>
        <v>2476</v>
      </c>
      <c r="P22" s="116">
        <f t="shared" si="15"/>
        <v>2075</v>
      </c>
      <c r="Q22" s="116">
        <v>2113</v>
      </c>
      <c r="R22" s="116">
        <v>3927</v>
      </c>
      <c r="S22" s="116">
        <v>2821</v>
      </c>
      <c r="T22" s="144">
        <f t="shared" si="3"/>
        <v>-0.21504424778761061</v>
      </c>
      <c r="U22" s="144">
        <f t="shared" si="4"/>
        <v>-0.58511837655016907</v>
      </c>
      <c r="V22" s="144">
        <f t="shared" si="5"/>
        <v>4.4755434782608692</v>
      </c>
      <c r="W22" s="144">
        <f t="shared" si="6"/>
        <v>0.22878411910669974</v>
      </c>
      <c r="X22" s="144">
        <f t="shared" si="7"/>
        <v>-0.16195476575121162</v>
      </c>
      <c r="Y22" s="144">
        <f t="shared" si="7"/>
        <v>1.8313253012048194E-2</v>
      </c>
      <c r="Z22" s="144">
        <f t="shared" si="13"/>
        <v>0.85849503076194988</v>
      </c>
      <c r="AA22" s="144">
        <f t="shared" si="14"/>
        <v>-0.28163992869875221</v>
      </c>
    </row>
    <row r="23" spans="1:27" x14ac:dyDescent="0.3">
      <c r="A23" s="68"/>
      <c r="B23" s="69" t="s">
        <v>50</v>
      </c>
      <c r="C23" s="70">
        <v>1</v>
      </c>
      <c r="D23" s="223" t="s">
        <v>148</v>
      </c>
      <c r="E23" s="223"/>
      <c r="F23" s="223"/>
      <c r="G23" s="223"/>
      <c r="H23" s="223"/>
      <c r="I23" s="224"/>
      <c r="J23" s="103" t="s">
        <v>149</v>
      </c>
      <c r="K23" s="117">
        <v>320</v>
      </c>
      <c r="L23" s="117">
        <v>512</v>
      </c>
      <c r="M23" s="117">
        <v>73</v>
      </c>
      <c r="N23" s="106">
        <v>108</v>
      </c>
      <c r="O23" s="106">
        <v>81</v>
      </c>
      <c r="P23" s="54">
        <v>63</v>
      </c>
      <c r="Q23" s="54">
        <v>378</v>
      </c>
      <c r="R23" s="54">
        <v>1546</v>
      </c>
      <c r="S23" s="54">
        <v>859</v>
      </c>
      <c r="T23" s="135">
        <f t="shared" si="3"/>
        <v>0.6</v>
      </c>
      <c r="U23" s="135">
        <f t="shared" si="4"/>
        <v>-0.857421875</v>
      </c>
      <c r="V23" s="135">
        <f t="shared" si="5"/>
        <v>0.47945205479452052</v>
      </c>
      <c r="W23" s="135">
        <f t="shared" si="6"/>
        <v>-0.25</v>
      </c>
      <c r="X23" s="135">
        <f t="shared" si="7"/>
        <v>-0.22222222222222221</v>
      </c>
      <c r="Y23" s="135">
        <f t="shared" si="7"/>
        <v>5</v>
      </c>
      <c r="Z23" s="135">
        <f>(R23-Q23)/Q23</f>
        <v>3.0899470899470898</v>
      </c>
      <c r="AA23" s="135">
        <f t="shared" si="14"/>
        <v>-0.44437257438551098</v>
      </c>
    </row>
    <row r="24" spans="1:27" x14ac:dyDescent="0.3">
      <c r="A24" s="68"/>
      <c r="B24" s="75"/>
      <c r="C24" s="70">
        <v>2</v>
      </c>
      <c r="D24" s="223" t="s">
        <v>150</v>
      </c>
      <c r="E24" s="223"/>
      <c r="F24" s="223"/>
      <c r="G24" s="223"/>
      <c r="H24" s="223"/>
      <c r="I24" s="224"/>
      <c r="J24" s="103" t="s">
        <v>151</v>
      </c>
      <c r="K24" s="117">
        <v>52</v>
      </c>
      <c r="L24" s="117">
        <v>50</v>
      </c>
      <c r="M24" s="117">
        <v>27</v>
      </c>
      <c r="N24" s="106">
        <v>714</v>
      </c>
      <c r="O24" s="106">
        <v>803</v>
      </c>
      <c r="P24" s="54">
        <v>698</v>
      </c>
      <c r="Q24" s="54">
        <v>0</v>
      </c>
      <c r="R24" s="54">
        <v>0</v>
      </c>
      <c r="S24" s="54">
        <v>367</v>
      </c>
      <c r="T24" s="135">
        <f t="shared" si="3"/>
        <v>-3.8461538461538464E-2</v>
      </c>
      <c r="U24" s="135">
        <f t="shared" si="4"/>
        <v>-0.46</v>
      </c>
      <c r="V24" s="135">
        <f t="shared" si="5"/>
        <v>25.444444444444443</v>
      </c>
      <c r="W24" s="135">
        <f t="shared" si="6"/>
        <v>0.12464985994397759</v>
      </c>
      <c r="X24" s="135">
        <f t="shared" si="7"/>
        <v>-0.13075965130759651</v>
      </c>
      <c r="Y24" s="135">
        <f t="shared" si="7"/>
        <v>-1</v>
      </c>
      <c r="Z24" s="135">
        <v>0</v>
      </c>
      <c r="AA24" s="135">
        <v>1</v>
      </c>
    </row>
    <row r="25" spans="1:27" x14ac:dyDescent="0.3">
      <c r="A25" s="72"/>
      <c r="B25" s="76"/>
      <c r="C25" s="74">
        <v>3</v>
      </c>
      <c r="D25" s="223" t="s">
        <v>152</v>
      </c>
      <c r="E25" s="223"/>
      <c r="F25" s="223"/>
      <c r="G25" s="223"/>
      <c r="H25" s="223"/>
      <c r="I25" s="224"/>
      <c r="J25" s="103" t="s">
        <v>153</v>
      </c>
      <c r="K25" s="117">
        <v>758</v>
      </c>
      <c r="L25" s="117">
        <v>325</v>
      </c>
      <c r="M25" s="117">
        <v>268</v>
      </c>
      <c r="N25" s="106">
        <v>1193</v>
      </c>
      <c r="O25" s="106">
        <v>1592</v>
      </c>
      <c r="P25" s="54">
        <v>1314</v>
      </c>
      <c r="Q25" s="54">
        <v>1735</v>
      </c>
      <c r="R25" s="54">
        <v>2381</v>
      </c>
      <c r="S25" s="54">
        <v>1595</v>
      </c>
      <c r="T25" s="135">
        <f t="shared" si="3"/>
        <v>-0.5712401055408971</v>
      </c>
      <c r="U25" s="135">
        <f t="shared" si="4"/>
        <v>-0.17538461538461539</v>
      </c>
      <c r="V25" s="135">
        <f t="shared" si="5"/>
        <v>3.4514925373134329</v>
      </c>
      <c r="W25" s="135">
        <f t="shared" si="6"/>
        <v>0.33445096395641238</v>
      </c>
      <c r="X25" s="135">
        <f t="shared" si="7"/>
        <v>-0.17462311557788945</v>
      </c>
      <c r="Y25" s="135">
        <f t="shared" si="7"/>
        <v>0.32039573820395739</v>
      </c>
      <c r="Z25" s="135">
        <f t="shared" si="13"/>
        <v>0.37233429394812678</v>
      </c>
      <c r="AA25" s="135">
        <f t="shared" si="14"/>
        <v>-0.33011339773204534</v>
      </c>
    </row>
    <row r="26" spans="1:27" x14ac:dyDescent="0.3">
      <c r="A26" s="67" t="s">
        <v>154</v>
      </c>
      <c r="B26" s="231"/>
      <c r="C26" s="231"/>
      <c r="D26" s="232" t="s">
        <v>155</v>
      </c>
      <c r="E26" s="232"/>
      <c r="F26" s="232"/>
      <c r="G26" s="232"/>
      <c r="H26" s="232"/>
      <c r="I26" s="233"/>
      <c r="J26" s="101" t="s">
        <v>156</v>
      </c>
      <c r="K26" s="102">
        <f t="shared" ref="K26:P26" si="16">K27+K28+K29+K30+K31</f>
        <v>5721</v>
      </c>
      <c r="L26" s="102">
        <f t="shared" si="16"/>
        <v>2732</v>
      </c>
      <c r="M26" s="102">
        <f t="shared" si="16"/>
        <v>3171</v>
      </c>
      <c r="N26" s="102">
        <f t="shared" si="16"/>
        <v>3975</v>
      </c>
      <c r="O26" s="102">
        <f t="shared" si="16"/>
        <v>2864</v>
      </c>
      <c r="P26" s="102">
        <f t="shared" si="16"/>
        <v>3160</v>
      </c>
      <c r="Q26" s="102">
        <v>2575</v>
      </c>
      <c r="R26" s="102">
        <v>3457</v>
      </c>
      <c r="S26" s="102">
        <v>3573</v>
      </c>
      <c r="T26" s="139">
        <f t="shared" si="3"/>
        <v>-0.52246110819786751</v>
      </c>
      <c r="U26" s="139">
        <f t="shared" si="4"/>
        <v>0.16068814055636896</v>
      </c>
      <c r="V26" s="139">
        <f t="shared" si="5"/>
        <v>0.25354777672658468</v>
      </c>
      <c r="W26" s="139">
        <f t="shared" si="6"/>
        <v>-0.27949685534591195</v>
      </c>
      <c r="X26" s="139">
        <f t="shared" si="7"/>
        <v>0.10335195530726257</v>
      </c>
      <c r="Y26" s="139">
        <f t="shared" si="7"/>
        <v>-0.185126582278481</v>
      </c>
      <c r="Z26" s="139">
        <f t="shared" si="13"/>
        <v>0.34252427184466017</v>
      </c>
      <c r="AA26" s="139">
        <f t="shared" si="14"/>
        <v>3.3555105582875326E-2</v>
      </c>
    </row>
    <row r="27" spans="1:27" x14ac:dyDescent="0.3">
      <c r="A27" s="68"/>
      <c r="B27" s="69" t="s">
        <v>113</v>
      </c>
      <c r="C27" s="70"/>
      <c r="D27" s="223" t="s">
        <v>157</v>
      </c>
      <c r="E27" s="223"/>
      <c r="F27" s="223"/>
      <c r="G27" s="223"/>
      <c r="H27" s="223"/>
      <c r="I27" s="224"/>
      <c r="J27" s="103" t="s">
        <v>158</v>
      </c>
      <c r="K27" s="114">
        <v>367</v>
      </c>
      <c r="L27" s="114">
        <v>3080</v>
      </c>
      <c r="M27" s="114">
        <v>48</v>
      </c>
      <c r="N27" s="106">
        <v>142</v>
      </c>
      <c r="O27" s="106"/>
      <c r="P27" s="118"/>
      <c r="Q27" s="118">
        <v>142</v>
      </c>
      <c r="R27" s="118">
        <v>623</v>
      </c>
      <c r="S27" s="118">
        <v>420</v>
      </c>
      <c r="T27" s="135">
        <f t="shared" si="3"/>
        <v>7.392370572207084</v>
      </c>
      <c r="U27" s="135">
        <f t="shared" si="4"/>
        <v>-0.98441558441558441</v>
      </c>
      <c r="V27" s="135">
        <f t="shared" si="5"/>
        <v>1.9583333333333333</v>
      </c>
      <c r="W27" s="135">
        <f t="shared" si="6"/>
        <v>-1</v>
      </c>
      <c r="X27" s="135">
        <v>0</v>
      </c>
      <c r="Y27" s="135">
        <v>1</v>
      </c>
      <c r="Z27" s="135">
        <f>(R27-Q27)/Q27</f>
        <v>3.387323943661972</v>
      </c>
      <c r="AA27" s="135">
        <f>(S27-R27)/R27</f>
        <v>-0.3258426966292135</v>
      </c>
    </row>
    <row r="28" spans="1:27" x14ac:dyDescent="0.3">
      <c r="A28" s="68"/>
      <c r="B28" s="69" t="s">
        <v>115</v>
      </c>
      <c r="C28" s="70"/>
      <c r="D28" s="223" t="s">
        <v>159</v>
      </c>
      <c r="E28" s="223"/>
      <c r="F28" s="223"/>
      <c r="G28" s="223"/>
      <c r="H28" s="223"/>
      <c r="I28" s="224"/>
      <c r="J28" s="103" t="s">
        <v>160</v>
      </c>
      <c r="K28" s="114">
        <v>218</v>
      </c>
      <c r="L28" s="114">
        <v>105</v>
      </c>
      <c r="M28" s="114">
        <v>137</v>
      </c>
      <c r="N28" s="106">
        <v>473</v>
      </c>
      <c r="O28" s="106">
        <v>689</v>
      </c>
      <c r="P28" s="118">
        <v>450</v>
      </c>
      <c r="Q28" s="118">
        <v>0</v>
      </c>
      <c r="R28" s="118">
        <v>0</v>
      </c>
      <c r="S28" s="118">
        <v>49</v>
      </c>
      <c r="T28" s="135">
        <f t="shared" si="3"/>
        <v>-0.51834862385321101</v>
      </c>
      <c r="U28" s="135">
        <f t="shared" si="4"/>
        <v>0.30476190476190479</v>
      </c>
      <c r="V28" s="135">
        <f t="shared" si="5"/>
        <v>2.4525547445255476</v>
      </c>
      <c r="W28" s="135">
        <f t="shared" si="6"/>
        <v>0.45665961945031713</v>
      </c>
      <c r="X28" s="135">
        <f t="shared" si="7"/>
        <v>-0.34687953555878082</v>
      </c>
      <c r="Y28" s="135">
        <f t="shared" si="7"/>
        <v>-1</v>
      </c>
      <c r="Z28" s="135">
        <v>0</v>
      </c>
      <c r="AA28" s="135">
        <v>1</v>
      </c>
    </row>
    <row r="29" spans="1:27" x14ac:dyDescent="0.3">
      <c r="A29" s="68"/>
      <c r="B29" s="69" t="s">
        <v>118</v>
      </c>
      <c r="C29" s="70"/>
      <c r="D29" s="223" t="s">
        <v>161</v>
      </c>
      <c r="E29" s="223"/>
      <c r="F29" s="223"/>
      <c r="G29" s="223"/>
      <c r="H29" s="223"/>
      <c r="I29" s="224"/>
      <c r="J29" s="103" t="s">
        <v>162</v>
      </c>
      <c r="K29" s="114">
        <v>1022</v>
      </c>
      <c r="L29" s="114">
        <v>1345</v>
      </c>
      <c r="M29" s="114">
        <v>1394</v>
      </c>
      <c r="N29" s="106">
        <v>1366</v>
      </c>
      <c r="O29" s="106">
        <v>1246</v>
      </c>
      <c r="P29" s="118">
        <v>1728</v>
      </c>
      <c r="Q29" s="118">
        <v>1428</v>
      </c>
      <c r="R29" s="118">
        <v>1667</v>
      </c>
      <c r="S29" s="118">
        <v>1797</v>
      </c>
      <c r="T29" s="135">
        <f t="shared" si="3"/>
        <v>0.31604696673189825</v>
      </c>
      <c r="U29" s="135">
        <f t="shared" si="4"/>
        <v>3.6431226765799254E-2</v>
      </c>
      <c r="V29" s="135">
        <f t="shared" si="5"/>
        <v>-2.0086083213773313E-2</v>
      </c>
      <c r="W29" s="135">
        <f t="shared" si="6"/>
        <v>-8.7847730600292828E-2</v>
      </c>
      <c r="X29" s="135">
        <f t="shared" si="7"/>
        <v>0.3868378812199037</v>
      </c>
      <c r="Y29" s="135">
        <f t="shared" si="7"/>
        <v>-0.1736111111111111</v>
      </c>
      <c r="Z29" s="135">
        <f t="shared" ref="Z28:Z58" si="17">(R29-Q29)/Q29</f>
        <v>0.16736694677871147</v>
      </c>
      <c r="AA29" s="135">
        <f t="shared" ref="AA28:AA58" si="18">(S29-R29)/R29</f>
        <v>7.7984403119376128E-2</v>
      </c>
    </row>
    <row r="30" spans="1:27" x14ac:dyDescent="0.3">
      <c r="A30" s="68"/>
      <c r="B30" s="69" t="s">
        <v>163</v>
      </c>
      <c r="C30" s="70"/>
      <c r="D30" s="223" t="s">
        <v>164</v>
      </c>
      <c r="E30" s="223"/>
      <c r="F30" s="223"/>
      <c r="G30" s="223"/>
      <c r="H30" s="223"/>
      <c r="I30" s="224"/>
      <c r="J30" s="103" t="s">
        <v>165</v>
      </c>
      <c r="K30" s="114">
        <v>3365</v>
      </c>
      <c r="L30" s="114">
        <v>-2580</v>
      </c>
      <c r="M30" s="114">
        <v>801</v>
      </c>
      <c r="N30" s="106">
        <v>145</v>
      </c>
      <c r="O30" s="106">
        <v>-23</v>
      </c>
      <c r="P30" s="118">
        <v>115</v>
      </c>
      <c r="Q30" s="118">
        <v>-135</v>
      </c>
      <c r="R30" s="118">
        <v>-8</v>
      </c>
      <c r="S30" s="118">
        <v>98</v>
      </c>
      <c r="T30" s="135">
        <f t="shared" si="3"/>
        <v>-1.7667161961367013</v>
      </c>
      <c r="U30" s="135">
        <f t="shared" si="4"/>
        <v>-1.3104651162790697</v>
      </c>
      <c r="V30" s="135">
        <f t="shared" si="5"/>
        <v>-0.81897627965043696</v>
      </c>
      <c r="W30" s="135">
        <f t="shared" si="6"/>
        <v>-1.1586206896551725</v>
      </c>
      <c r="X30" s="135">
        <f t="shared" si="7"/>
        <v>-6</v>
      </c>
      <c r="Y30" s="135">
        <f t="shared" si="7"/>
        <v>-2.1739130434782608</v>
      </c>
      <c r="Z30" s="135">
        <f t="shared" si="17"/>
        <v>-0.94074074074074077</v>
      </c>
      <c r="AA30" s="135">
        <f t="shared" si="18"/>
        <v>-13.25</v>
      </c>
    </row>
    <row r="31" spans="1:27" x14ac:dyDescent="0.3">
      <c r="A31" s="68"/>
      <c r="B31" s="69" t="s">
        <v>166</v>
      </c>
      <c r="C31" s="70"/>
      <c r="D31" s="223" t="s">
        <v>167</v>
      </c>
      <c r="E31" s="223"/>
      <c r="F31" s="223"/>
      <c r="G31" s="223"/>
      <c r="H31" s="223"/>
      <c r="I31" s="224"/>
      <c r="J31" s="103" t="s">
        <v>108</v>
      </c>
      <c r="K31" s="114">
        <v>749</v>
      </c>
      <c r="L31" s="114">
        <v>782</v>
      </c>
      <c r="M31" s="114">
        <v>791</v>
      </c>
      <c r="N31" s="106">
        <v>1849</v>
      </c>
      <c r="O31" s="106">
        <v>952</v>
      </c>
      <c r="P31" s="118">
        <v>867</v>
      </c>
      <c r="Q31" s="118">
        <v>1140</v>
      </c>
      <c r="R31" s="118">
        <v>1175</v>
      </c>
      <c r="S31" s="118">
        <v>1209</v>
      </c>
      <c r="T31" s="135">
        <f t="shared" si="3"/>
        <v>4.4058744993324434E-2</v>
      </c>
      <c r="U31" s="135">
        <f t="shared" si="4"/>
        <v>1.1508951406649617E-2</v>
      </c>
      <c r="V31" s="135">
        <f t="shared" si="5"/>
        <v>1.3375474083438685</v>
      </c>
      <c r="W31" s="135">
        <f t="shared" si="6"/>
        <v>-0.48512709572742024</v>
      </c>
      <c r="X31" s="135">
        <f t="shared" si="7"/>
        <v>-8.9285714285714288E-2</v>
      </c>
      <c r="Y31" s="135">
        <f t="shared" si="7"/>
        <v>0.31487889273356401</v>
      </c>
      <c r="Z31" s="135">
        <f t="shared" si="17"/>
        <v>3.0701754385964911E-2</v>
      </c>
      <c r="AA31" s="135">
        <f t="shared" si="18"/>
        <v>2.8936170212765958E-2</v>
      </c>
    </row>
    <row r="32" spans="1:27" x14ac:dyDescent="0.3">
      <c r="A32" s="225" t="s">
        <v>168</v>
      </c>
      <c r="B32" s="225"/>
      <c r="C32" s="225"/>
      <c r="D32" s="226" t="s">
        <v>169</v>
      </c>
      <c r="E32" s="226"/>
      <c r="F32" s="226"/>
      <c r="G32" s="226"/>
      <c r="H32" s="226"/>
      <c r="I32" s="227"/>
      <c r="J32" s="119" t="s">
        <v>170</v>
      </c>
      <c r="K32" s="120">
        <f t="shared" ref="K32:P32" si="19">+K3+K4-K5-K9-K10-K11-K16+K22-K26</f>
        <v>10962</v>
      </c>
      <c r="L32" s="120">
        <f t="shared" si="19"/>
        <v>10747</v>
      </c>
      <c r="M32" s="120">
        <f t="shared" si="19"/>
        <v>11992</v>
      </c>
      <c r="N32" s="120">
        <f t="shared" si="19"/>
        <v>8729</v>
      </c>
      <c r="O32" s="120">
        <f t="shared" si="19"/>
        <v>8705</v>
      </c>
      <c r="P32" s="120">
        <f t="shared" si="19"/>
        <v>3681</v>
      </c>
      <c r="Q32" s="120">
        <v>15837</v>
      </c>
      <c r="R32" s="120">
        <v>13183</v>
      </c>
      <c r="S32" s="120">
        <v>8336</v>
      </c>
      <c r="T32" s="145">
        <f t="shared" si="3"/>
        <v>-1.9613209268381681E-2</v>
      </c>
      <c r="U32" s="145">
        <f t="shared" si="4"/>
        <v>0.11584628268353959</v>
      </c>
      <c r="V32" s="145">
        <f t="shared" si="5"/>
        <v>-0.27209806537691794</v>
      </c>
      <c r="W32" s="145">
        <f t="shared" si="6"/>
        <v>-2.7494558368656202E-3</v>
      </c>
      <c r="X32" s="145">
        <f t="shared" si="7"/>
        <v>-0.57713957495692136</v>
      </c>
      <c r="Y32" s="145">
        <f t="shared" si="7"/>
        <v>3.302363488182559</v>
      </c>
      <c r="Z32" s="145">
        <f t="shared" si="17"/>
        <v>-0.16758224411188988</v>
      </c>
      <c r="AA32" s="145">
        <f t="shared" si="18"/>
        <v>-0.36767048471516345</v>
      </c>
    </row>
    <row r="33" spans="1:27" x14ac:dyDescent="0.3">
      <c r="A33" s="207" t="s">
        <v>53</v>
      </c>
      <c r="B33" s="207"/>
      <c r="C33" s="207"/>
      <c r="D33" s="221" t="s">
        <v>171</v>
      </c>
      <c r="E33" s="221"/>
      <c r="F33" s="221"/>
      <c r="G33" s="221"/>
      <c r="H33" s="221"/>
      <c r="I33" s="222"/>
      <c r="J33" s="121" t="s">
        <v>172</v>
      </c>
      <c r="K33" s="122">
        <f t="shared" ref="K33:P33" si="20">K34+K35</f>
        <v>0</v>
      </c>
      <c r="L33" s="122">
        <f t="shared" si="20"/>
        <v>0</v>
      </c>
      <c r="M33" s="122">
        <f t="shared" si="20"/>
        <v>200</v>
      </c>
      <c r="N33" s="122">
        <f t="shared" si="20"/>
        <v>0</v>
      </c>
      <c r="O33" s="122">
        <f t="shared" si="20"/>
        <v>0</v>
      </c>
      <c r="P33" s="122">
        <f t="shared" si="20"/>
        <v>0</v>
      </c>
      <c r="Q33" s="122">
        <v>0</v>
      </c>
      <c r="R33" s="122">
        <v>0</v>
      </c>
      <c r="S33" s="122"/>
      <c r="T33" s="146">
        <v>0</v>
      </c>
      <c r="U33" s="146">
        <v>1</v>
      </c>
      <c r="V33" s="146">
        <f t="shared" si="5"/>
        <v>-1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</row>
    <row r="34" spans="1:27" x14ac:dyDescent="0.3">
      <c r="A34" s="11"/>
      <c r="B34" s="12" t="s">
        <v>53</v>
      </c>
      <c r="C34" s="77">
        <v>1</v>
      </c>
      <c r="D34" s="218" t="s">
        <v>173</v>
      </c>
      <c r="E34" s="218"/>
      <c r="F34" s="218"/>
      <c r="G34" s="218"/>
      <c r="H34" s="218"/>
      <c r="I34" s="219"/>
      <c r="J34" s="103" t="s">
        <v>174</v>
      </c>
      <c r="K34" s="103"/>
      <c r="L34" s="103"/>
      <c r="M34" s="123" t="s">
        <v>175</v>
      </c>
      <c r="N34" s="106"/>
      <c r="O34" s="106"/>
      <c r="P34" s="54"/>
      <c r="Q34" s="54"/>
      <c r="R34" s="54"/>
      <c r="S34" s="54"/>
      <c r="T34" s="135">
        <v>0</v>
      </c>
      <c r="U34" s="135">
        <v>1</v>
      </c>
      <c r="V34" s="135">
        <f t="shared" si="5"/>
        <v>-1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</row>
    <row r="35" spans="1:27" x14ac:dyDescent="0.3">
      <c r="A35" s="17"/>
      <c r="B35" s="41"/>
      <c r="C35" s="78">
        <v>2</v>
      </c>
      <c r="D35" s="218" t="s">
        <v>176</v>
      </c>
      <c r="E35" s="218"/>
      <c r="F35" s="218"/>
      <c r="G35" s="218"/>
      <c r="H35" s="218"/>
      <c r="I35" s="219"/>
      <c r="J35" s="103" t="s">
        <v>177</v>
      </c>
      <c r="K35" s="103"/>
      <c r="L35" s="103"/>
      <c r="M35" s="103"/>
      <c r="N35" s="106"/>
      <c r="O35" s="106"/>
      <c r="P35" s="54"/>
      <c r="Q35" s="54"/>
      <c r="R35" s="54"/>
      <c r="S35" s="54"/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</row>
    <row r="36" spans="1:27" x14ac:dyDescent="0.3">
      <c r="A36" s="10" t="s">
        <v>178</v>
      </c>
      <c r="B36" s="20"/>
      <c r="C36" s="79"/>
      <c r="D36" s="216" t="s">
        <v>179</v>
      </c>
      <c r="E36" s="216"/>
      <c r="F36" s="216"/>
      <c r="G36" s="216"/>
      <c r="H36" s="216"/>
      <c r="I36" s="217"/>
      <c r="J36" s="101" t="s">
        <v>180</v>
      </c>
      <c r="K36" s="124">
        <v>0</v>
      </c>
      <c r="L36" s="124">
        <v>0</v>
      </c>
      <c r="M36" s="124">
        <v>200</v>
      </c>
      <c r="N36" s="124">
        <v>0</v>
      </c>
      <c r="O36" s="124">
        <v>0</v>
      </c>
      <c r="P36" s="124">
        <v>0</v>
      </c>
      <c r="Q36" s="124">
        <v>0</v>
      </c>
      <c r="R36" s="124">
        <v>0</v>
      </c>
      <c r="S36" s="124"/>
      <c r="T36" s="147">
        <v>0</v>
      </c>
      <c r="U36" s="147">
        <v>1</v>
      </c>
      <c r="V36" s="147">
        <f t="shared" si="5"/>
        <v>-1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</row>
    <row r="37" spans="1:27" x14ac:dyDescent="0.3">
      <c r="A37" s="11"/>
      <c r="B37" s="12" t="s">
        <v>72</v>
      </c>
      <c r="C37" s="77"/>
      <c r="D37" s="221" t="s">
        <v>181</v>
      </c>
      <c r="E37" s="221"/>
      <c r="F37" s="221"/>
      <c r="G37" s="221"/>
      <c r="H37" s="221"/>
      <c r="I37" s="222"/>
      <c r="J37" s="121" t="s">
        <v>182</v>
      </c>
      <c r="K37" s="122">
        <f t="shared" ref="K37:P37" si="21">K38+K39</f>
        <v>0</v>
      </c>
      <c r="L37" s="122">
        <f t="shared" si="21"/>
        <v>0</v>
      </c>
      <c r="M37" s="122">
        <f t="shared" si="21"/>
        <v>0</v>
      </c>
      <c r="N37" s="122">
        <f t="shared" si="21"/>
        <v>0</v>
      </c>
      <c r="O37" s="122">
        <f t="shared" si="21"/>
        <v>0</v>
      </c>
      <c r="P37" s="122">
        <f t="shared" si="21"/>
        <v>0</v>
      </c>
      <c r="Q37" s="122">
        <v>0</v>
      </c>
      <c r="R37" s="122">
        <v>0</v>
      </c>
      <c r="S37" s="122"/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</row>
    <row r="38" spans="1:27" x14ac:dyDescent="0.3">
      <c r="A38" s="14"/>
      <c r="B38" s="15" t="s">
        <v>72</v>
      </c>
      <c r="C38" s="80">
        <v>1</v>
      </c>
      <c r="D38" s="218" t="s">
        <v>183</v>
      </c>
      <c r="E38" s="218"/>
      <c r="F38" s="218"/>
      <c r="G38" s="218"/>
      <c r="H38" s="218"/>
      <c r="I38" s="219"/>
      <c r="J38" s="103" t="s">
        <v>184</v>
      </c>
      <c r="K38" s="103"/>
      <c r="L38" s="103"/>
      <c r="M38" s="123" t="s">
        <v>185</v>
      </c>
      <c r="N38" s="106">
        <v>0</v>
      </c>
      <c r="O38" s="106">
        <v>0</v>
      </c>
      <c r="P38" s="106">
        <v>0</v>
      </c>
      <c r="Q38" s="106"/>
      <c r="R38" s="106"/>
      <c r="S38" s="106"/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</row>
    <row r="39" spans="1:27" x14ac:dyDescent="0.3">
      <c r="A39" s="17"/>
      <c r="B39" s="41"/>
      <c r="C39" s="78">
        <v>2</v>
      </c>
      <c r="D39" s="218" t="s">
        <v>186</v>
      </c>
      <c r="E39" s="218"/>
      <c r="F39" s="218"/>
      <c r="G39" s="218"/>
      <c r="H39" s="218"/>
      <c r="I39" s="219"/>
      <c r="J39" s="103" t="s">
        <v>41</v>
      </c>
      <c r="K39" s="103"/>
      <c r="L39" s="103"/>
      <c r="M39" s="103"/>
      <c r="N39" s="106">
        <v>0</v>
      </c>
      <c r="O39" s="106">
        <v>0</v>
      </c>
      <c r="P39" s="106">
        <v>0</v>
      </c>
      <c r="Q39" s="106"/>
      <c r="R39" s="106"/>
      <c r="S39" s="106"/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</row>
    <row r="40" spans="1:27" x14ac:dyDescent="0.3">
      <c r="A40" s="10" t="s">
        <v>187</v>
      </c>
      <c r="B40" s="20"/>
      <c r="C40" s="79"/>
      <c r="D40" s="216" t="s">
        <v>188</v>
      </c>
      <c r="E40" s="216"/>
      <c r="F40" s="216"/>
      <c r="G40" s="216"/>
      <c r="H40" s="216"/>
      <c r="I40" s="217"/>
      <c r="J40" s="101" t="s">
        <v>43</v>
      </c>
      <c r="K40" s="124">
        <v>0</v>
      </c>
      <c r="L40" s="124">
        <v>0</v>
      </c>
      <c r="M40" s="124">
        <v>0</v>
      </c>
      <c r="N40" s="124">
        <v>0</v>
      </c>
      <c r="O40" s="124">
        <v>0</v>
      </c>
      <c r="P40" s="124">
        <v>0</v>
      </c>
      <c r="Q40" s="124">
        <v>0</v>
      </c>
      <c r="R40" s="124">
        <v>0</v>
      </c>
      <c r="S40" s="124"/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</row>
    <row r="41" spans="1:27" x14ac:dyDescent="0.3">
      <c r="A41" s="11"/>
      <c r="B41" s="12" t="s">
        <v>75</v>
      </c>
      <c r="C41" s="77"/>
      <c r="D41" s="221" t="s">
        <v>189</v>
      </c>
      <c r="E41" s="221"/>
      <c r="F41" s="221"/>
      <c r="G41" s="221"/>
      <c r="H41" s="221"/>
      <c r="I41" s="222"/>
      <c r="J41" s="121" t="s">
        <v>190</v>
      </c>
      <c r="K41" s="122">
        <f t="shared" ref="K41:P41" si="22">K42+K43</f>
        <v>0</v>
      </c>
      <c r="L41" s="122">
        <f t="shared" si="22"/>
        <v>0</v>
      </c>
      <c r="M41" s="122">
        <f t="shared" si="22"/>
        <v>3</v>
      </c>
      <c r="N41" s="122">
        <f t="shared" si="22"/>
        <v>177</v>
      </c>
      <c r="O41" s="122">
        <f t="shared" si="22"/>
        <v>176</v>
      </c>
      <c r="P41" s="122">
        <f t="shared" si="22"/>
        <v>122</v>
      </c>
      <c r="Q41" s="122">
        <v>107</v>
      </c>
      <c r="R41" s="122">
        <v>214</v>
      </c>
      <c r="S41" s="122">
        <v>511</v>
      </c>
      <c r="T41" s="146">
        <v>0</v>
      </c>
      <c r="U41" s="146">
        <v>1</v>
      </c>
      <c r="V41" s="146">
        <f t="shared" si="5"/>
        <v>58</v>
      </c>
      <c r="W41" s="146">
        <f t="shared" si="6"/>
        <v>-5.6497175141242938E-3</v>
      </c>
      <c r="X41" s="146">
        <f t="shared" si="7"/>
        <v>-0.30681818181818182</v>
      </c>
      <c r="Y41" s="146">
        <f t="shared" si="7"/>
        <v>-0.12295081967213115</v>
      </c>
      <c r="Z41" s="146">
        <f t="shared" ref="Z41:Z58" si="23">(R41-Q41)/Q41</f>
        <v>1</v>
      </c>
      <c r="AA41" s="146">
        <f t="shared" ref="AA41:AA58" si="24">(S41-R41)/R41</f>
        <v>1.3878504672897196</v>
      </c>
    </row>
    <row r="42" spans="1:27" x14ac:dyDescent="0.3">
      <c r="A42" s="14"/>
      <c r="B42" s="15" t="s">
        <v>75</v>
      </c>
      <c r="C42" s="80">
        <v>1</v>
      </c>
      <c r="D42" s="218" t="s">
        <v>191</v>
      </c>
      <c r="E42" s="218"/>
      <c r="F42" s="218"/>
      <c r="G42" s="218"/>
      <c r="H42" s="218"/>
      <c r="I42" s="219"/>
      <c r="J42" s="103" t="s">
        <v>192</v>
      </c>
      <c r="K42" s="103"/>
      <c r="L42" s="103"/>
      <c r="M42" s="123"/>
      <c r="N42" s="106"/>
      <c r="O42" s="106"/>
      <c r="P42" s="106"/>
      <c r="Q42" s="106">
        <v>87</v>
      </c>
      <c r="R42" s="106">
        <v>194</v>
      </c>
      <c r="S42" s="106">
        <v>440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1</v>
      </c>
      <c r="Z42" s="140">
        <f>(R42-Q42)/Q42</f>
        <v>1.2298850574712643</v>
      </c>
      <c r="AA42" s="140">
        <f>(S42-R42)/R42</f>
        <v>1.268041237113402</v>
      </c>
    </row>
    <row r="43" spans="1:27" x14ac:dyDescent="0.3">
      <c r="A43" s="17"/>
      <c r="B43" s="41"/>
      <c r="C43" s="78">
        <v>2</v>
      </c>
      <c r="D43" s="218" t="s">
        <v>193</v>
      </c>
      <c r="E43" s="218"/>
      <c r="F43" s="218"/>
      <c r="G43" s="218"/>
      <c r="H43" s="218"/>
      <c r="I43" s="219"/>
      <c r="J43" s="103" t="s">
        <v>194</v>
      </c>
      <c r="K43" s="103"/>
      <c r="L43" s="103"/>
      <c r="M43" s="123" t="s">
        <v>32</v>
      </c>
      <c r="N43" s="106">
        <v>177</v>
      </c>
      <c r="O43" s="106">
        <v>176</v>
      </c>
      <c r="P43" s="106">
        <v>122</v>
      </c>
      <c r="Q43" s="106">
        <v>20</v>
      </c>
      <c r="R43" s="106">
        <v>20</v>
      </c>
      <c r="S43" s="106">
        <v>71</v>
      </c>
      <c r="T43" s="140">
        <v>0</v>
      </c>
      <c r="U43" s="140">
        <v>1</v>
      </c>
      <c r="V43" s="140">
        <f t="shared" si="5"/>
        <v>58</v>
      </c>
      <c r="W43" s="140">
        <f t="shared" si="6"/>
        <v>-5.6497175141242938E-3</v>
      </c>
      <c r="X43" s="140">
        <f t="shared" si="7"/>
        <v>-0.30681818181818182</v>
      </c>
      <c r="Y43" s="140">
        <f t="shared" si="7"/>
        <v>-0.83606557377049184</v>
      </c>
      <c r="Z43" s="140">
        <f t="shared" ref="Z43:Z58" si="25">(R43-Q43)/Q43</f>
        <v>0</v>
      </c>
      <c r="AA43" s="140">
        <f t="shared" ref="AA43:AA58" si="26">(S43-R43)/R43</f>
        <v>2.5499999999999998</v>
      </c>
    </row>
    <row r="44" spans="1:27" x14ac:dyDescent="0.3">
      <c r="A44" s="10" t="s">
        <v>33</v>
      </c>
      <c r="B44" s="20"/>
      <c r="C44" s="79"/>
      <c r="D44" s="216" t="s">
        <v>195</v>
      </c>
      <c r="E44" s="216"/>
      <c r="F44" s="216"/>
      <c r="G44" s="216"/>
      <c r="H44" s="216"/>
      <c r="I44" s="217"/>
      <c r="J44" s="101" t="s">
        <v>196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/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1</v>
      </c>
      <c r="Z44" s="151">
        <v>2</v>
      </c>
      <c r="AA44" s="151">
        <v>3</v>
      </c>
    </row>
    <row r="45" spans="1:27" x14ac:dyDescent="0.3">
      <c r="A45" s="11" t="s">
        <v>197</v>
      </c>
      <c r="B45" s="12"/>
      <c r="C45" s="77"/>
      <c r="D45" s="216" t="s">
        <v>198</v>
      </c>
      <c r="E45" s="216"/>
      <c r="F45" s="216"/>
      <c r="G45" s="216"/>
      <c r="H45" s="216"/>
      <c r="I45" s="217"/>
      <c r="J45" s="101" t="s">
        <v>199</v>
      </c>
      <c r="K45" s="110">
        <f t="shared" ref="K45:P45" si="27">K46+K47</f>
        <v>1724</v>
      </c>
      <c r="L45" s="110">
        <f t="shared" si="27"/>
        <v>1517</v>
      </c>
      <c r="M45" s="110">
        <f t="shared" si="27"/>
        <v>1355</v>
      </c>
      <c r="N45" s="110">
        <f t="shared" si="27"/>
        <v>1102</v>
      </c>
      <c r="O45" s="110">
        <f t="shared" si="27"/>
        <v>1420</v>
      </c>
      <c r="P45" s="110">
        <f t="shared" si="27"/>
        <v>1811</v>
      </c>
      <c r="Q45" s="110">
        <v>990</v>
      </c>
      <c r="R45" s="110">
        <v>1142</v>
      </c>
      <c r="S45" s="110">
        <v>4446</v>
      </c>
      <c r="T45" s="142">
        <f t="shared" si="3"/>
        <v>-0.12006960556844548</v>
      </c>
      <c r="U45" s="142">
        <f t="shared" si="4"/>
        <v>-0.10678971654581411</v>
      </c>
      <c r="V45" s="142">
        <f t="shared" si="5"/>
        <v>-0.18671586715867158</v>
      </c>
      <c r="W45" s="142">
        <f t="shared" si="6"/>
        <v>0.28856624319419238</v>
      </c>
      <c r="X45" s="142">
        <f t="shared" si="7"/>
        <v>0.27535211267605636</v>
      </c>
      <c r="Y45" s="142">
        <f t="shared" si="7"/>
        <v>-0.4533406957482054</v>
      </c>
      <c r="Z45" s="142">
        <f t="shared" ref="Z45:Z58" si="28">(R45-Q45)/Q45</f>
        <v>0.15353535353535352</v>
      </c>
      <c r="AA45" s="142">
        <f t="shared" ref="AA45:AA58" si="29">(S45-R45)/R45</f>
        <v>2.8931698774080559</v>
      </c>
    </row>
    <row r="46" spans="1:27" x14ac:dyDescent="0.3">
      <c r="A46" s="14"/>
      <c r="B46" s="15" t="s">
        <v>113</v>
      </c>
      <c r="C46" s="80"/>
      <c r="D46" s="218" t="s">
        <v>200</v>
      </c>
      <c r="E46" s="218"/>
      <c r="F46" s="218"/>
      <c r="G46" s="218"/>
      <c r="H46" s="218"/>
      <c r="I46" s="219"/>
      <c r="J46" s="103" t="s">
        <v>201</v>
      </c>
      <c r="K46" s="103"/>
      <c r="L46" s="103"/>
      <c r="M46" s="103"/>
      <c r="N46" s="103"/>
      <c r="O46" s="103"/>
      <c r="P46" s="103"/>
      <c r="Q46" s="103"/>
      <c r="R46" s="103"/>
      <c r="S46" s="103"/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</row>
    <row r="47" spans="1:27" x14ac:dyDescent="0.3">
      <c r="A47" s="17"/>
      <c r="B47" s="41" t="s">
        <v>115</v>
      </c>
      <c r="C47" s="78"/>
      <c r="D47" s="218" t="s">
        <v>202</v>
      </c>
      <c r="E47" s="218"/>
      <c r="F47" s="218"/>
      <c r="G47" s="218"/>
      <c r="H47" s="218"/>
      <c r="I47" s="219"/>
      <c r="J47" s="103" t="s">
        <v>203</v>
      </c>
      <c r="K47" s="114">
        <v>1724</v>
      </c>
      <c r="L47" s="114">
        <v>1517</v>
      </c>
      <c r="M47" s="125">
        <v>1355</v>
      </c>
      <c r="N47" s="125">
        <v>1102</v>
      </c>
      <c r="O47" s="125">
        <v>1420</v>
      </c>
      <c r="P47" s="114">
        <v>1811</v>
      </c>
      <c r="Q47" s="114">
        <v>990</v>
      </c>
      <c r="R47" s="114">
        <v>1142</v>
      </c>
      <c r="S47" s="114">
        <v>4446</v>
      </c>
      <c r="T47" s="148">
        <f t="shared" si="3"/>
        <v>-0.12006960556844548</v>
      </c>
      <c r="U47" s="148">
        <f t="shared" si="4"/>
        <v>-0.10678971654581411</v>
      </c>
      <c r="V47" s="148">
        <f t="shared" si="5"/>
        <v>-0.18671586715867158</v>
      </c>
      <c r="W47" s="148">
        <f t="shared" si="6"/>
        <v>0.28856624319419238</v>
      </c>
      <c r="X47" s="148">
        <f t="shared" si="7"/>
        <v>0.27535211267605636</v>
      </c>
      <c r="Y47" s="148">
        <f t="shared" si="7"/>
        <v>-0.4533406957482054</v>
      </c>
      <c r="Z47" s="148">
        <f t="shared" ref="Z47:Z58" si="30">(R47-Q47)/Q47</f>
        <v>0.15353535353535352</v>
      </c>
      <c r="AA47" s="148">
        <f t="shared" ref="AA47:AA58" si="31">(S47-R47)/R47</f>
        <v>2.8931698774080559</v>
      </c>
    </row>
    <row r="48" spans="1:27" x14ac:dyDescent="0.3">
      <c r="A48" s="207" t="s">
        <v>204</v>
      </c>
      <c r="B48" s="207"/>
      <c r="C48" s="207"/>
      <c r="D48" s="221" t="s">
        <v>205</v>
      </c>
      <c r="E48" s="221"/>
      <c r="F48" s="221"/>
      <c r="G48" s="221"/>
      <c r="H48" s="221"/>
      <c r="I48" s="222"/>
      <c r="J48" s="121" t="s">
        <v>45</v>
      </c>
      <c r="K48" s="126">
        <v>6</v>
      </c>
      <c r="L48" s="126">
        <v>77</v>
      </c>
      <c r="M48" s="126">
        <v>22</v>
      </c>
      <c r="N48" s="126">
        <v>388</v>
      </c>
      <c r="O48" s="126">
        <v>33</v>
      </c>
      <c r="P48" s="126">
        <v>22</v>
      </c>
      <c r="Q48" s="126">
        <v>106</v>
      </c>
      <c r="R48" s="126">
        <v>128</v>
      </c>
      <c r="S48" s="126">
        <v>78</v>
      </c>
      <c r="T48" s="149">
        <f t="shared" si="3"/>
        <v>11.833333333333334</v>
      </c>
      <c r="U48" s="149">
        <f t="shared" si="4"/>
        <v>-0.7142857142857143</v>
      </c>
      <c r="V48" s="149">
        <f t="shared" si="5"/>
        <v>16.636363636363637</v>
      </c>
      <c r="W48" s="149">
        <f t="shared" si="6"/>
        <v>-0.91494845360824739</v>
      </c>
      <c r="X48" s="149">
        <f t="shared" si="7"/>
        <v>-0.33333333333333331</v>
      </c>
      <c r="Y48" s="149">
        <f t="shared" si="7"/>
        <v>3.8181818181818183</v>
      </c>
      <c r="Z48" s="149">
        <f t="shared" si="30"/>
        <v>0.20754716981132076</v>
      </c>
      <c r="AA48" s="149">
        <f t="shared" si="31"/>
        <v>-0.390625</v>
      </c>
    </row>
    <row r="49" spans="1:27" x14ac:dyDescent="0.3">
      <c r="A49" s="10" t="s">
        <v>206</v>
      </c>
      <c r="B49" s="210"/>
      <c r="C49" s="210"/>
      <c r="D49" s="216" t="s">
        <v>207</v>
      </c>
      <c r="E49" s="216"/>
      <c r="F49" s="216"/>
      <c r="G49" s="216"/>
      <c r="H49" s="216"/>
      <c r="I49" s="217"/>
      <c r="J49" s="101" t="s">
        <v>47</v>
      </c>
      <c r="K49" s="127">
        <v>400</v>
      </c>
      <c r="L49" s="127">
        <v>207</v>
      </c>
      <c r="M49" s="127">
        <v>298</v>
      </c>
      <c r="N49" s="128">
        <v>211</v>
      </c>
      <c r="O49" s="128">
        <v>263</v>
      </c>
      <c r="P49" s="128">
        <v>316</v>
      </c>
      <c r="Q49" s="128" t="s">
        <v>208</v>
      </c>
      <c r="R49" s="128" t="s">
        <v>274</v>
      </c>
      <c r="S49" s="128" t="s">
        <v>275</v>
      </c>
      <c r="T49" s="150">
        <f t="shared" si="3"/>
        <v>-0.48249999999999998</v>
      </c>
      <c r="U49" s="150">
        <f t="shared" si="4"/>
        <v>0.43961352657004832</v>
      </c>
      <c r="V49" s="150">
        <f t="shared" si="5"/>
        <v>-0.29194630872483224</v>
      </c>
      <c r="W49" s="150">
        <f t="shared" si="6"/>
        <v>0.24644549763033174</v>
      </c>
      <c r="X49" s="150">
        <f t="shared" si="7"/>
        <v>0.20152091254752852</v>
      </c>
      <c r="Y49" s="150">
        <f t="shared" si="7"/>
        <v>0.43670886075949367</v>
      </c>
      <c r="Z49" s="150">
        <f t="shared" si="30"/>
        <v>-0.18502202643171806</v>
      </c>
      <c r="AA49" s="150">
        <f t="shared" si="31"/>
        <v>-8.9189189189189194E-2</v>
      </c>
    </row>
    <row r="50" spans="1:27" x14ac:dyDescent="0.3">
      <c r="A50" s="220" t="s">
        <v>168</v>
      </c>
      <c r="B50" s="220"/>
      <c r="C50" s="220"/>
      <c r="D50" s="208" t="s">
        <v>209</v>
      </c>
      <c r="E50" s="208"/>
      <c r="F50" s="208"/>
      <c r="G50" s="208"/>
      <c r="H50" s="208"/>
      <c r="I50" s="209"/>
      <c r="J50" s="119" t="s">
        <v>210</v>
      </c>
      <c r="K50" s="120">
        <f t="shared" ref="K50:P50" si="32">+K33+K37+K41+K48-K36-K40-K44-K45-K49</f>
        <v>-2118</v>
      </c>
      <c r="L50" s="120">
        <f t="shared" si="32"/>
        <v>-1647</v>
      </c>
      <c r="M50" s="120">
        <f t="shared" si="32"/>
        <v>-1628</v>
      </c>
      <c r="N50" s="120">
        <f t="shared" si="32"/>
        <v>-748</v>
      </c>
      <c r="O50" s="120">
        <f t="shared" si="32"/>
        <v>-1474</v>
      </c>
      <c r="P50" s="120">
        <f t="shared" si="32"/>
        <v>-1983</v>
      </c>
      <c r="Q50" s="120">
        <v>-1231</v>
      </c>
      <c r="R50" s="120">
        <v>-1170</v>
      </c>
      <c r="S50" s="120">
        <v>-4194</v>
      </c>
      <c r="T50" s="145">
        <f t="shared" si="3"/>
        <v>-0.22237960339943344</v>
      </c>
      <c r="U50" s="145">
        <f t="shared" si="4"/>
        <v>-1.1536126290224651E-2</v>
      </c>
      <c r="V50" s="145">
        <f t="shared" si="5"/>
        <v>-0.54054054054054057</v>
      </c>
      <c r="W50" s="145">
        <f t="shared" si="6"/>
        <v>0.97058823529411764</v>
      </c>
      <c r="X50" s="145">
        <f t="shared" si="7"/>
        <v>0.34531886024423336</v>
      </c>
      <c r="Y50" s="145">
        <f t="shared" si="7"/>
        <v>-0.37922339889056983</v>
      </c>
      <c r="Z50" s="145">
        <f t="shared" si="30"/>
        <v>-4.9553208773354993E-2</v>
      </c>
      <c r="AA50" s="145">
        <f t="shared" si="31"/>
        <v>2.5846153846153848</v>
      </c>
    </row>
    <row r="51" spans="1:27" x14ac:dyDescent="0.3">
      <c r="A51" s="214" t="s">
        <v>211</v>
      </c>
      <c r="B51" s="214"/>
      <c r="C51" s="214"/>
      <c r="D51" s="208" t="s">
        <v>212</v>
      </c>
      <c r="E51" s="208"/>
      <c r="F51" s="208"/>
      <c r="G51" s="208"/>
      <c r="H51" s="208"/>
      <c r="I51" s="209"/>
      <c r="J51" s="119" t="s">
        <v>213</v>
      </c>
      <c r="K51" s="120">
        <f t="shared" ref="K51:P51" si="33">+K32+K50</f>
        <v>8844</v>
      </c>
      <c r="L51" s="120">
        <f t="shared" si="33"/>
        <v>9100</v>
      </c>
      <c r="M51" s="120">
        <f t="shared" si="33"/>
        <v>10364</v>
      </c>
      <c r="N51" s="120">
        <f t="shared" si="33"/>
        <v>7981</v>
      </c>
      <c r="O51" s="120">
        <f t="shared" si="33"/>
        <v>7231</v>
      </c>
      <c r="P51" s="120">
        <f t="shared" si="33"/>
        <v>1698</v>
      </c>
      <c r="Q51" s="120">
        <v>14606</v>
      </c>
      <c r="R51" s="120">
        <v>12013</v>
      </c>
      <c r="S51" s="120">
        <v>4142</v>
      </c>
      <c r="T51" s="145">
        <f t="shared" si="3"/>
        <v>2.8946178199909543E-2</v>
      </c>
      <c r="U51" s="145">
        <f t="shared" si="4"/>
        <v>0.13890109890109889</v>
      </c>
      <c r="V51" s="145">
        <f t="shared" si="5"/>
        <v>-0.22993052875337708</v>
      </c>
      <c r="W51" s="145">
        <f t="shared" si="6"/>
        <v>-9.3973186317504079E-2</v>
      </c>
      <c r="X51" s="145">
        <f t="shared" si="7"/>
        <v>-0.76517770709445443</v>
      </c>
      <c r="Y51" s="145">
        <f t="shared" si="7"/>
        <v>7.6018845700824498</v>
      </c>
      <c r="Z51" s="145">
        <f t="shared" si="30"/>
        <v>-0.17752978228125427</v>
      </c>
      <c r="AA51" s="145">
        <f t="shared" si="31"/>
        <v>-0.65520685923582789</v>
      </c>
    </row>
    <row r="52" spans="1:27" x14ac:dyDescent="0.3">
      <c r="A52" s="11" t="s">
        <v>214</v>
      </c>
      <c r="B52" s="215"/>
      <c r="C52" s="215"/>
      <c r="D52" s="216" t="s">
        <v>215</v>
      </c>
      <c r="E52" s="216"/>
      <c r="F52" s="216"/>
      <c r="G52" s="216"/>
      <c r="H52" s="216"/>
      <c r="I52" s="217"/>
      <c r="J52" s="101" t="s">
        <v>216</v>
      </c>
      <c r="K52" s="110">
        <f t="shared" ref="K52:P52" si="34">K53+K54</f>
        <v>1747</v>
      </c>
      <c r="L52" s="110">
        <f t="shared" si="34"/>
        <v>1664</v>
      </c>
      <c r="M52" s="110">
        <f t="shared" si="34"/>
        <v>2062</v>
      </c>
      <c r="N52" s="110">
        <f t="shared" si="34"/>
        <v>1663</v>
      </c>
      <c r="O52" s="110">
        <f t="shared" si="34"/>
        <v>1458</v>
      </c>
      <c r="P52" s="110">
        <f t="shared" si="34"/>
        <v>446</v>
      </c>
      <c r="Q52" s="110">
        <v>2847</v>
      </c>
      <c r="R52" s="110">
        <v>2689</v>
      </c>
      <c r="S52" s="110">
        <v>850</v>
      </c>
      <c r="T52" s="142">
        <f t="shared" si="3"/>
        <v>-4.751001717229536E-2</v>
      </c>
      <c r="U52" s="142">
        <f t="shared" si="4"/>
        <v>0.23918269230769232</v>
      </c>
      <c r="V52" s="142">
        <f t="shared" si="5"/>
        <v>-0.19350145489815712</v>
      </c>
      <c r="W52" s="142">
        <f t="shared" si="6"/>
        <v>-0.1232711966325917</v>
      </c>
      <c r="X52" s="142">
        <f t="shared" si="7"/>
        <v>-0.69410150891632372</v>
      </c>
      <c r="Y52" s="142">
        <f t="shared" si="7"/>
        <v>5.383408071748879</v>
      </c>
      <c r="Z52" s="142">
        <f t="shared" si="30"/>
        <v>-5.5497014401123992E-2</v>
      </c>
      <c r="AA52" s="142">
        <f t="shared" si="31"/>
        <v>-0.68389735961323916</v>
      </c>
    </row>
    <row r="53" spans="1:27" x14ac:dyDescent="0.3">
      <c r="A53" s="14"/>
      <c r="B53" s="15" t="s">
        <v>113</v>
      </c>
      <c r="C53" s="80"/>
      <c r="D53" s="218" t="s">
        <v>217</v>
      </c>
      <c r="E53" s="218"/>
      <c r="F53" s="218"/>
      <c r="G53" s="218"/>
      <c r="H53" s="218"/>
      <c r="I53" s="219"/>
      <c r="J53" s="103" t="s">
        <v>218</v>
      </c>
      <c r="K53" s="114">
        <v>2125</v>
      </c>
      <c r="L53" s="114">
        <v>2543</v>
      </c>
      <c r="M53" s="114">
        <v>3453</v>
      </c>
      <c r="N53" s="106">
        <v>2838</v>
      </c>
      <c r="O53" s="106">
        <v>2744</v>
      </c>
      <c r="P53" s="106">
        <v>1541</v>
      </c>
      <c r="Q53" s="106">
        <v>3398</v>
      </c>
      <c r="R53" s="106">
        <v>3272</v>
      </c>
      <c r="S53" s="106">
        <v>1445</v>
      </c>
      <c r="T53" s="140">
        <f t="shared" si="3"/>
        <v>0.19670588235294117</v>
      </c>
      <c r="U53" s="140">
        <f t="shared" si="4"/>
        <v>0.35784506488399526</v>
      </c>
      <c r="V53" s="140">
        <f t="shared" si="5"/>
        <v>-0.17810599478714162</v>
      </c>
      <c r="W53" s="140">
        <f t="shared" si="6"/>
        <v>-3.3121916842847078E-2</v>
      </c>
      <c r="X53" s="140">
        <f t="shared" si="7"/>
        <v>-0.43841107871720114</v>
      </c>
      <c r="Y53" s="140">
        <f t="shared" si="7"/>
        <v>1.2050616482803373</v>
      </c>
      <c r="Z53" s="140">
        <f t="shared" si="30"/>
        <v>-3.7080635668040027E-2</v>
      </c>
      <c r="AA53" s="140">
        <f t="shared" si="31"/>
        <v>-0.55837408312958436</v>
      </c>
    </row>
    <row r="54" spans="1:27" x14ac:dyDescent="0.3">
      <c r="A54" s="17"/>
      <c r="B54" s="41" t="s">
        <v>115</v>
      </c>
      <c r="C54" s="78"/>
      <c r="D54" s="218" t="s">
        <v>219</v>
      </c>
      <c r="E54" s="218"/>
      <c r="F54" s="218"/>
      <c r="G54" s="218"/>
      <c r="H54" s="218"/>
      <c r="I54" s="219"/>
      <c r="J54" s="103" t="s">
        <v>220</v>
      </c>
      <c r="K54" s="114">
        <v>-378</v>
      </c>
      <c r="L54" s="114">
        <v>-879</v>
      </c>
      <c r="M54" s="114">
        <v>-1391</v>
      </c>
      <c r="N54" s="106">
        <v>-1175</v>
      </c>
      <c r="O54" s="106">
        <v>-1286</v>
      </c>
      <c r="P54" s="106">
        <v>-1095</v>
      </c>
      <c r="Q54" s="106">
        <v>-551</v>
      </c>
      <c r="R54" s="106">
        <v>-583</v>
      </c>
      <c r="S54" s="106">
        <v>-595</v>
      </c>
      <c r="T54" s="140">
        <f t="shared" si="3"/>
        <v>1.3253968253968254</v>
      </c>
      <c r="U54" s="140">
        <f t="shared" si="4"/>
        <v>0.58248009101251419</v>
      </c>
      <c r="V54" s="140">
        <f t="shared" si="5"/>
        <v>-0.1552839683680805</v>
      </c>
      <c r="W54" s="140">
        <f t="shared" si="6"/>
        <v>9.4468085106382979E-2</v>
      </c>
      <c r="X54" s="140">
        <f t="shared" si="7"/>
        <v>-0.14852255054432348</v>
      </c>
      <c r="Y54" s="140">
        <f t="shared" si="7"/>
        <v>-0.49680365296803652</v>
      </c>
      <c r="Z54" s="140">
        <f t="shared" si="30"/>
        <v>5.8076225045372049E-2</v>
      </c>
      <c r="AA54" s="140">
        <f t="shared" si="31"/>
        <v>2.0583190394511151E-2</v>
      </c>
    </row>
    <row r="55" spans="1:27" x14ac:dyDescent="0.3">
      <c r="A55" s="207" t="s">
        <v>211</v>
      </c>
      <c r="B55" s="207"/>
      <c r="C55" s="207"/>
      <c r="D55" s="208" t="s">
        <v>221</v>
      </c>
      <c r="E55" s="208"/>
      <c r="F55" s="208"/>
      <c r="G55" s="208"/>
      <c r="H55" s="208"/>
      <c r="I55" s="209"/>
      <c r="J55" s="119" t="s">
        <v>222</v>
      </c>
      <c r="K55" s="120">
        <f t="shared" ref="K55:P55" si="35">+K51-K52</f>
        <v>7097</v>
      </c>
      <c r="L55" s="120">
        <f t="shared" si="35"/>
        <v>7436</v>
      </c>
      <c r="M55" s="120">
        <f t="shared" si="35"/>
        <v>8302</v>
      </c>
      <c r="N55" s="120">
        <f t="shared" si="35"/>
        <v>6318</v>
      </c>
      <c r="O55" s="120">
        <f t="shared" si="35"/>
        <v>5773</v>
      </c>
      <c r="P55" s="120">
        <f t="shared" si="35"/>
        <v>1252</v>
      </c>
      <c r="Q55" s="120">
        <v>11759</v>
      </c>
      <c r="R55" s="120">
        <v>9324</v>
      </c>
      <c r="S55" s="120">
        <v>3292</v>
      </c>
      <c r="T55" s="145">
        <f t="shared" si="3"/>
        <v>4.7766661969846413E-2</v>
      </c>
      <c r="U55" s="145">
        <f t="shared" si="4"/>
        <v>0.11646046261430877</v>
      </c>
      <c r="V55" s="145">
        <f t="shared" si="5"/>
        <v>-0.23897855938328114</v>
      </c>
      <c r="W55" s="145">
        <f t="shared" si="6"/>
        <v>-8.6261475150364045E-2</v>
      </c>
      <c r="X55" s="145">
        <f t="shared" si="7"/>
        <v>-0.78312835614065479</v>
      </c>
      <c r="Y55" s="145">
        <f t="shared" si="7"/>
        <v>8.392172523961662</v>
      </c>
      <c r="Z55" s="145">
        <f t="shared" si="30"/>
        <v>-0.2070754315843184</v>
      </c>
      <c r="AA55" s="145">
        <f t="shared" si="31"/>
        <v>-0.64693264693264696</v>
      </c>
    </row>
    <row r="56" spans="1:27" x14ac:dyDescent="0.3">
      <c r="A56" s="10" t="s">
        <v>223</v>
      </c>
      <c r="B56" s="210"/>
      <c r="C56" s="210"/>
      <c r="D56" s="211" t="s">
        <v>224</v>
      </c>
      <c r="E56" s="211"/>
      <c r="F56" s="211"/>
      <c r="G56" s="211"/>
      <c r="H56" s="211"/>
      <c r="I56" s="212"/>
      <c r="J56" s="101" t="s">
        <v>225</v>
      </c>
      <c r="K56" s="101"/>
      <c r="L56" s="101"/>
      <c r="M56" s="101"/>
      <c r="N56" s="129"/>
      <c r="O56" s="129"/>
      <c r="P56" s="129"/>
      <c r="Q56" s="129"/>
      <c r="R56" s="129"/>
      <c r="S56" s="129"/>
      <c r="T56" s="151">
        <v>0</v>
      </c>
      <c r="U56" s="151">
        <v>0</v>
      </c>
      <c r="V56" s="151">
        <v>0</v>
      </c>
      <c r="W56" s="151">
        <v>0</v>
      </c>
      <c r="X56" s="151">
        <v>0</v>
      </c>
      <c r="Y56" s="151">
        <v>1</v>
      </c>
      <c r="Z56" s="151">
        <v>2</v>
      </c>
      <c r="AA56" s="151">
        <v>3</v>
      </c>
    </row>
    <row r="57" spans="1:27" x14ac:dyDescent="0.3">
      <c r="A57" s="213" t="s">
        <v>226</v>
      </c>
      <c r="B57" s="213"/>
      <c r="C57" s="213"/>
      <c r="D57" s="208" t="s">
        <v>227</v>
      </c>
      <c r="E57" s="208"/>
      <c r="F57" s="208"/>
      <c r="G57" s="208"/>
      <c r="H57" s="208"/>
      <c r="I57" s="209"/>
      <c r="J57" s="119" t="s">
        <v>228</v>
      </c>
      <c r="K57" s="120">
        <f t="shared" ref="K57:P57" si="36">+K55-K56</f>
        <v>7097</v>
      </c>
      <c r="L57" s="120">
        <f t="shared" si="36"/>
        <v>7436</v>
      </c>
      <c r="M57" s="120">
        <f t="shared" si="36"/>
        <v>8302</v>
      </c>
      <c r="N57" s="120">
        <f t="shared" si="36"/>
        <v>6318</v>
      </c>
      <c r="O57" s="120">
        <f t="shared" si="36"/>
        <v>5773</v>
      </c>
      <c r="P57" s="120">
        <f t="shared" si="36"/>
        <v>1252</v>
      </c>
      <c r="Q57" s="120">
        <v>11759</v>
      </c>
      <c r="R57" s="120">
        <v>9324</v>
      </c>
      <c r="S57" s="120">
        <v>3292</v>
      </c>
      <c r="T57" s="145">
        <f t="shared" si="3"/>
        <v>4.7766661969846413E-2</v>
      </c>
      <c r="U57" s="145">
        <f t="shared" si="4"/>
        <v>0.11646046261430877</v>
      </c>
      <c r="V57" s="145">
        <f t="shared" si="5"/>
        <v>-0.23897855938328114</v>
      </c>
      <c r="W57" s="145">
        <f t="shared" si="6"/>
        <v>-8.6261475150364045E-2</v>
      </c>
      <c r="X57" s="145">
        <f t="shared" si="7"/>
        <v>-0.78312835614065479</v>
      </c>
      <c r="Y57" s="145">
        <f t="shared" si="7"/>
        <v>8.392172523961662</v>
      </c>
      <c r="Z57" s="145">
        <f t="shared" ref="Z57:Z58" si="37">(R57-Q57)/Q57</f>
        <v>-0.2070754315843184</v>
      </c>
      <c r="AA57" s="145">
        <f t="shared" ref="AA57:AA58" si="38">(S57-R57)/R57</f>
        <v>-0.64693264693264696</v>
      </c>
    </row>
    <row r="58" spans="1:27" x14ac:dyDescent="0.3">
      <c r="A58" s="194" t="s">
        <v>168</v>
      </c>
      <c r="B58" s="194"/>
      <c r="C58" s="194"/>
      <c r="D58" s="204" t="s">
        <v>229</v>
      </c>
      <c r="E58" s="204"/>
      <c r="F58" s="204"/>
      <c r="G58" s="204"/>
      <c r="H58" s="204"/>
      <c r="I58" s="205"/>
      <c r="J58" s="119" t="s">
        <v>230</v>
      </c>
      <c r="K58" s="120">
        <f t="shared" ref="K58:P58" si="39">+K3+K4+K22+K33+K37+K41+K48</f>
        <v>137354</v>
      </c>
      <c r="L58" s="120">
        <f t="shared" si="39"/>
        <v>102713</v>
      </c>
      <c r="M58" s="120">
        <f t="shared" si="39"/>
        <v>110465</v>
      </c>
      <c r="N58" s="120">
        <f t="shared" si="39"/>
        <v>118398</v>
      </c>
      <c r="O58" s="120">
        <f t="shared" si="39"/>
        <v>124182</v>
      </c>
      <c r="P58" s="120">
        <f t="shared" si="39"/>
        <v>119679</v>
      </c>
      <c r="Q58" s="120">
        <v>128513</v>
      </c>
      <c r="R58" s="120">
        <v>132223</v>
      </c>
      <c r="S58" s="120">
        <v>128215</v>
      </c>
      <c r="T58" s="145">
        <f t="shared" si="3"/>
        <v>-0.2522023384830438</v>
      </c>
      <c r="U58" s="145">
        <f t="shared" si="4"/>
        <v>7.5472432895543895E-2</v>
      </c>
      <c r="V58" s="145">
        <f t="shared" si="5"/>
        <v>7.1814601910107273E-2</v>
      </c>
      <c r="W58" s="145">
        <f t="shared" si="6"/>
        <v>4.8852176557036435E-2</v>
      </c>
      <c r="X58" s="145">
        <f t="shared" si="7"/>
        <v>-3.6261293907329566E-2</v>
      </c>
      <c r="Y58" s="145">
        <f t="shared" si="7"/>
        <v>7.3814119436158385E-2</v>
      </c>
      <c r="Z58" s="145">
        <f t="shared" si="37"/>
        <v>2.8868674764420722E-2</v>
      </c>
      <c r="AA58" s="145">
        <f t="shared" si="38"/>
        <v>-3.0312426733624255E-2</v>
      </c>
    </row>
    <row r="59" spans="1:27" x14ac:dyDescent="0.3">
      <c r="K59" s="66">
        <v>2014</v>
      </c>
      <c r="L59" s="66">
        <v>2015</v>
      </c>
      <c r="M59" s="66">
        <v>2016</v>
      </c>
      <c r="N59" s="66">
        <v>2017</v>
      </c>
      <c r="O59" s="66">
        <v>2018</v>
      </c>
      <c r="P59" s="81">
        <v>2019</v>
      </c>
      <c r="Q59" s="66">
        <v>2020</v>
      </c>
      <c r="R59" s="81">
        <v>2021</v>
      </c>
      <c r="S59" s="66">
        <v>2022</v>
      </c>
      <c r="T59" s="66"/>
    </row>
    <row r="60" spans="1:27" x14ac:dyDescent="0.3">
      <c r="D60" s="204" t="s">
        <v>231</v>
      </c>
      <c r="E60" s="204"/>
      <c r="F60" s="204"/>
      <c r="G60" s="204"/>
      <c r="H60" s="204"/>
      <c r="I60" s="205"/>
      <c r="J60" s="54"/>
      <c r="K60" s="137">
        <f t="shared" ref="K60:S60" si="40">K3+K4+K22+K33+K37+K41+K48</f>
        <v>137354</v>
      </c>
      <c r="L60" s="137">
        <f t="shared" si="40"/>
        <v>102713</v>
      </c>
      <c r="M60" s="137">
        <f t="shared" si="40"/>
        <v>110465</v>
      </c>
      <c r="N60" s="137">
        <f t="shared" si="40"/>
        <v>118398</v>
      </c>
      <c r="O60" s="137">
        <f t="shared" si="40"/>
        <v>124182</v>
      </c>
      <c r="P60" s="137">
        <f t="shared" si="40"/>
        <v>119679</v>
      </c>
      <c r="Q60" s="137">
        <f t="shared" si="40"/>
        <v>128513</v>
      </c>
      <c r="R60" s="137">
        <f t="shared" si="40"/>
        <v>132223</v>
      </c>
      <c r="S60" s="137">
        <f t="shared" si="40"/>
        <v>128215</v>
      </c>
      <c r="T60" s="137"/>
    </row>
    <row r="61" spans="1:27" x14ac:dyDescent="0.3">
      <c r="D61" s="204" t="s">
        <v>232</v>
      </c>
      <c r="E61" s="204"/>
      <c r="F61" s="204"/>
      <c r="G61" s="204"/>
      <c r="H61" s="204"/>
      <c r="I61" s="205"/>
      <c r="J61" s="54"/>
      <c r="K61" s="118">
        <f t="shared" ref="K61:S61" si="41">K5+K9+K10+K11+K16+K26+K36+K40+K44+K45+K49+K52</f>
        <v>130257</v>
      </c>
      <c r="L61" s="118">
        <f t="shared" si="41"/>
        <v>95277</v>
      </c>
      <c r="M61" s="118">
        <f t="shared" si="41"/>
        <v>102163</v>
      </c>
      <c r="N61" s="118">
        <f t="shared" si="41"/>
        <v>112080</v>
      </c>
      <c r="O61" s="118">
        <f t="shared" si="41"/>
        <v>118409</v>
      </c>
      <c r="P61" s="118">
        <f t="shared" si="41"/>
        <v>118427</v>
      </c>
      <c r="Q61" s="118">
        <f t="shared" si="41"/>
        <v>116754</v>
      </c>
      <c r="R61" s="118">
        <f t="shared" si="41"/>
        <v>122899</v>
      </c>
      <c r="S61" s="118">
        <f t="shared" si="41"/>
        <v>124923</v>
      </c>
      <c r="T61" s="118"/>
    </row>
    <row r="62" spans="1:27" x14ac:dyDescent="0.3">
      <c r="O62" s="158">
        <f>O61/O60</f>
        <v>0.95351178109548884</v>
      </c>
      <c r="P62" s="158">
        <f t="shared" ref="P62:S62" si="42">P61/P60</f>
        <v>0.98953868264273603</v>
      </c>
      <c r="Q62" s="158">
        <f t="shared" si="42"/>
        <v>0.90849952923050581</v>
      </c>
      <c r="R62" s="158">
        <f t="shared" si="42"/>
        <v>0.92948276774842498</v>
      </c>
      <c r="S62" s="158">
        <f t="shared" si="42"/>
        <v>0.97432437702296926</v>
      </c>
    </row>
  </sheetData>
  <mergeCells count="85">
    <mergeCell ref="A1:C1"/>
    <mergeCell ref="D1:I1"/>
    <mergeCell ref="A2:C2"/>
    <mergeCell ref="D2:I2"/>
    <mergeCell ref="A3:C3"/>
    <mergeCell ref="D3:I3"/>
    <mergeCell ref="A4:C4"/>
    <mergeCell ref="D4:I4"/>
    <mergeCell ref="B5:C5"/>
    <mergeCell ref="D5:I5"/>
    <mergeCell ref="A6:C6"/>
    <mergeCell ref="D6:I6"/>
    <mergeCell ref="D7:I7"/>
    <mergeCell ref="D8:I8"/>
    <mergeCell ref="B9:C9"/>
    <mergeCell ref="D9:I9"/>
    <mergeCell ref="B10:C10"/>
    <mergeCell ref="D10:I10"/>
    <mergeCell ref="D20:I20"/>
    <mergeCell ref="B11:C11"/>
    <mergeCell ref="D11:I11"/>
    <mergeCell ref="D12:I12"/>
    <mergeCell ref="D13:I13"/>
    <mergeCell ref="D14:I14"/>
    <mergeCell ref="D15:I15"/>
    <mergeCell ref="B16:C16"/>
    <mergeCell ref="D16:I16"/>
    <mergeCell ref="D17:I17"/>
    <mergeCell ref="D18:I18"/>
    <mergeCell ref="D19:I19"/>
    <mergeCell ref="D30:I30"/>
    <mergeCell ref="D21:I21"/>
    <mergeCell ref="A22:C22"/>
    <mergeCell ref="D22:I22"/>
    <mergeCell ref="D23:I23"/>
    <mergeCell ref="D24:I24"/>
    <mergeCell ref="D25:I25"/>
    <mergeCell ref="B26:C26"/>
    <mergeCell ref="D26:I26"/>
    <mergeCell ref="D27:I27"/>
    <mergeCell ref="D28:I28"/>
    <mergeCell ref="D29:I29"/>
    <mergeCell ref="D40:I40"/>
    <mergeCell ref="D31:I31"/>
    <mergeCell ref="A32:C32"/>
    <mergeCell ref="D32:I32"/>
    <mergeCell ref="A33:C33"/>
    <mergeCell ref="D33:I33"/>
    <mergeCell ref="D34:I34"/>
    <mergeCell ref="D35:I35"/>
    <mergeCell ref="D36:I36"/>
    <mergeCell ref="D37:I37"/>
    <mergeCell ref="D38:I38"/>
    <mergeCell ref="D39:I39"/>
    <mergeCell ref="D53:I53"/>
    <mergeCell ref="D54:I54"/>
    <mergeCell ref="A50:C50"/>
    <mergeCell ref="D50:I50"/>
    <mergeCell ref="D41:I41"/>
    <mergeCell ref="D42:I42"/>
    <mergeCell ref="D43:I43"/>
    <mergeCell ref="D44:I44"/>
    <mergeCell ref="D45:I45"/>
    <mergeCell ref="D46:I46"/>
    <mergeCell ref="D47:I47"/>
    <mergeCell ref="A48:C48"/>
    <mergeCell ref="D48:I48"/>
    <mergeCell ref="B49:C49"/>
    <mergeCell ref="D49:I49"/>
    <mergeCell ref="T1:Y1"/>
    <mergeCell ref="D60:I60"/>
    <mergeCell ref="D61:I61"/>
    <mergeCell ref="A58:C58"/>
    <mergeCell ref="D58:I58"/>
    <mergeCell ref="K1:P1"/>
    <mergeCell ref="A55:C55"/>
    <mergeCell ref="D55:I55"/>
    <mergeCell ref="B56:C56"/>
    <mergeCell ref="D56:I56"/>
    <mergeCell ref="A57:C57"/>
    <mergeCell ref="D57:I57"/>
    <mergeCell ref="A51:C51"/>
    <mergeCell ref="D51:I51"/>
    <mergeCell ref="B52:C52"/>
    <mergeCell ref="D52:I52"/>
  </mergeCells>
  <phoneticPr fontId="1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tabSelected="1" workbookViewId="0">
      <selection activeCell="N13" sqref="N13"/>
    </sheetView>
  </sheetViews>
  <sheetFormatPr defaultRowHeight="14.4" x14ac:dyDescent="0.3"/>
  <cols>
    <col min="1" max="1" width="56.109375" customWidth="1"/>
  </cols>
  <sheetData>
    <row r="1" spans="1:10" ht="15.6" x14ac:dyDescent="0.3">
      <c r="A1" s="82" t="s">
        <v>233</v>
      </c>
      <c r="B1" s="82"/>
      <c r="C1" s="82"/>
      <c r="D1" s="83"/>
      <c r="E1" s="82"/>
      <c r="F1" s="84"/>
    </row>
    <row r="2" spans="1:10" x14ac:dyDescent="0.3">
      <c r="A2" s="83"/>
      <c r="B2" s="83"/>
      <c r="C2" s="83"/>
      <c r="D2" s="83"/>
      <c r="E2" s="83"/>
      <c r="F2" s="84"/>
    </row>
    <row r="3" spans="1:10" ht="15.6" x14ac:dyDescent="0.3">
      <c r="A3" s="85" t="s">
        <v>234</v>
      </c>
      <c r="B3" s="86">
        <v>2014</v>
      </c>
      <c r="C3" s="86">
        <v>2015</v>
      </c>
      <c r="D3" s="86">
        <v>2016</v>
      </c>
      <c r="E3" s="86">
        <v>2017</v>
      </c>
      <c r="F3" s="87">
        <v>2018</v>
      </c>
      <c r="G3" s="86">
        <v>2019</v>
      </c>
      <c r="H3" s="86">
        <v>2020</v>
      </c>
      <c r="I3" s="86">
        <v>2021</v>
      </c>
      <c r="J3" s="86">
        <v>2022</v>
      </c>
    </row>
    <row r="4" spans="1:10" x14ac:dyDescent="0.3">
      <c r="A4" s="88" t="s">
        <v>235</v>
      </c>
      <c r="B4" s="89">
        <f>Rozvaha!I15/Rozvaha!I36</f>
        <v>2.3053414828594208E-2</v>
      </c>
      <c r="C4" s="89">
        <f>Rozvaha!J15/Rozvaha!J36</f>
        <v>1.8274111675126905E-2</v>
      </c>
      <c r="D4" s="89">
        <f>Rozvaha!K15/Rozvaha!K36</f>
        <v>2.3848527562954778E-2</v>
      </c>
      <c r="E4" s="89">
        <f>Rozvaha!L15/Rozvaha!L36</f>
        <v>2.4358023859270741E-2</v>
      </c>
      <c r="F4" s="89">
        <f>Rozvaha!M15/Rozvaha!M36</f>
        <v>1.8570948701953069E-2</v>
      </c>
      <c r="G4" s="89">
        <f>Rozvaha!N15/Rozvaha!N36</f>
        <v>7.2929349692485407E-2</v>
      </c>
      <c r="H4" s="89">
        <f>Rozvaha!O15/Rozvaha!O36</f>
        <v>0.11207697610982884</v>
      </c>
      <c r="I4" s="89">
        <f>Rozvaha!P15/Rozvaha!P36</f>
        <v>8.2868166690974656E-3</v>
      </c>
      <c r="J4" s="89">
        <f>Rozvaha!Q15/Rozvaha!Q36</f>
        <v>8.0300462834163745E-3</v>
      </c>
    </row>
    <row r="5" spans="1:10" x14ac:dyDescent="0.3">
      <c r="A5" s="88" t="s">
        <v>236</v>
      </c>
      <c r="B5" s="89">
        <f>(Rozvaha!I9-Rozvaha!I10)/Rozvaha!I36</f>
        <v>0.264921605102312</v>
      </c>
      <c r="C5" s="89">
        <f>(Rozvaha!J9-Rozvaha!J10)/Rozvaha!J36</f>
        <v>0.20308523963346298</v>
      </c>
      <c r="D5" s="89">
        <f>(Rozvaha!K9-Rozvaha!K10)/Rozvaha!K36</f>
        <v>0.28722364026566094</v>
      </c>
      <c r="E5" s="89">
        <f>(Rozvaha!L9-Rozvaha!L10)/Rozvaha!L36</f>
        <v>0.38386466266765518</v>
      </c>
      <c r="F5" s="89">
        <f>(Rozvaha!M9-Rozvaha!M10)/Rozvaha!M36</f>
        <v>0.34131916118815681</v>
      </c>
      <c r="G5" s="89">
        <f>(Rozvaha!N9-Rozvaha!N10)/Rozvaha!N36</f>
        <v>0.3759014704505011</v>
      </c>
      <c r="H5" s="89">
        <f>(Rozvaha!O9-Rozvaha!O10)/Rozvaha!O36</f>
        <v>0.45929378615748928</v>
      </c>
      <c r="I5" s="89">
        <f>(Rozvaha!P9-Rozvaha!P10)/Rozvaha!P36</f>
        <v>0.35606793863777991</v>
      </c>
      <c r="J5" s="89">
        <f>(Rozvaha!Q9-Rozvaha!Q10)/Rozvaha!Q36</f>
        <v>0.23962416854245175</v>
      </c>
    </row>
    <row r="6" spans="1:10" x14ac:dyDescent="0.3">
      <c r="A6" s="88" t="s">
        <v>237</v>
      </c>
      <c r="B6" s="89">
        <f>Rozvaha!I9/Rozvaha!I36</f>
        <v>1.3622641509433961</v>
      </c>
      <c r="C6" s="89">
        <f>Rozvaha!J9/Rozvaha!J36</f>
        <v>1.5063880282154394</v>
      </c>
      <c r="D6" s="89">
        <f>Rozvaha!K9/Rozvaha!K36</f>
        <v>1.6051786099787928</v>
      </c>
      <c r="E6" s="89">
        <f>Rozvaha!L9/Rozvaha!L36</f>
        <v>1.739839590213655</v>
      </c>
      <c r="F6" s="89">
        <f>Rozvaha!M9/Rozvaha!M36</f>
        <v>1.6897403906137531</v>
      </c>
      <c r="G6" s="89">
        <f>Rozvaha!N9/Rozvaha!N36</f>
        <v>2.0025131903468516</v>
      </c>
      <c r="H6" s="89">
        <f>Rozvaha!O9/Rozvaha!O36</f>
        <v>2.1047480591109378</v>
      </c>
      <c r="I6" s="89">
        <f>Rozvaha!P9/Rozvaha!P36</f>
        <v>2.0243168348337996</v>
      </c>
      <c r="J6" s="89">
        <f>Rozvaha!Q9/Rozvaha!Q36</f>
        <v>1.9585599028807001</v>
      </c>
    </row>
    <row r="7" spans="1:10" x14ac:dyDescent="0.3">
      <c r="A7" s="88" t="s">
        <v>238</v>
      </c>
      <c r="B7" s="90">
        <f>Rozvaha!I9-Rozvaha!I36</f>
        <v>27264</v>
      </c>
      <c r="C7" s="90">
        <f>Rozvaha!J9-Rozvaha!J36</f>
        <v>38407</v>
      </c>
      <c r="D7" s="90">
        <f>Rozvaha!K9-Rozvaha!K36</f>
        <v>47656</v>
      </c>
      <c r="E7" s="90">
        <f>Rozvaha!L9-Rozvaha!L36</f>
        <v>54885</v>
      </c>
      <c r="F7" s="90">
        <f>Rozvaha!M9-Rozvaha!M36</f>
        <v>57494</v>
      </c>
      <c r="G7" s="90">
        <f>Rozvaha!N9-Rozvaha!N36</f>
        <v>64223</v>
      </c>
      <c r="H7" s="90">
        <f>Rozvaha!O9-Rozvaha!O36</f>
        <v>73711</v>
      </c>
      <c r="I7" s="90">
        <f>Rozvaha!P9-Rozvaha!P36</f>
        <v>77255</v>
      </c>
      <c r="J7" s="90">
        <f>Rozvaha!Q9-Rozvaha!Q36</f>
        <v>75801</v>
      </c>
    </row>
    <row r="8" spans="1:10" x14ac:dyDescent="0.3">
      <c r="A8" s="83"/>
      <c r="B8" s="83"/>
      <c r="C8" s="83"/>
      <c r="D8" s="83"/>
      <c r="E8" s="83"/>
      <c r="F8" s="84"/>
    </row>
    <row r="9" spans="1:10" ht="15.6" x14ac:dyDescent="0.3">
      <c r="A9" s="85" t="s">
        <v>239</v>
      </c>
      <c r="B9" s="86">
        <v>2014</v>
      </c>
      <c r="C9" s="86">
        <v>2015</v>
      </c>
      <c r="D9" s="86">
        <v>2016</v>
      </c>
      <c r="E9" s="86">
        <v>2017</v>
      </c>
      <c r="F9" s="87">
        <v>2018</v>
      </c>
      <c r="G9" s="86">
        <v>2019</v>
      </c>
      <c r="H9" s="86">
        <v>2020</v>
      </c>
      <c r="I9" s="86">
        <v>2021</v>
      </c>
      <c r="J9" s="86">
        <v>2022</v>
      </c>
    </row>
    <row r="10" spans="1:10" x14ac:dyDescent="0.3">
      <c r="A10" s="88" t="s">
        <v>240</v>
      </c>
      <c r="B10" s="91">
        <f>Rozvaha!I27/Rozvaha!I4</f>
        <v>2.908511196354218E-2</v>
      </c>
      <c r="C10" s="91">
        <f>Rozvaha!J27/Rozvaha!J4</f>
        <v>3.1806866108321286E-2</v>
      </c>
      <c r="D10" s="91">
        <f>Rozvaha!K27/Rozvaha!K4</f>
        <v>3.205021792758396E-2</v>
      </c>
      <c r="E10" s="91">
        <f>Rozvaha!L27/Rozvaha!L4</f>
        <v>2.4732146701793255E-2</v>
      </c>
      <c r="F10" s="91">
        <f>Rozvaha!M27/Rozvaha!M4</f>
        <v>2.2002858504049549E-2</v>
      </c>
      <c r="G10" s="91">
        <f>Rozvaha!N27/Rozvaha!N4</f>
        <v>5.2052801164120151E-3</v>
      </c>
      <c r="H10" s="91">
        <f>Rozvaha!O27/Rozvaha!O4</f>
        <v>4.5304463408526133E-2</v>
      </c>
      <c r="I10" s="91">
        <f>Rozvaha!P27/Rozvaha!P4</f>
        <v>3.3516661274668395E-2</v>
      </c>
      <c r="J10" s="91">
        <f>Rozvaha!Q27/Rozvaha!Q4</f>
        <v>1.1856611357423528E-2</v>
      </c>
    </row>
    <row r="11" spans="1:10" x14ac:dyDescent="0.3">
      <c r="A11" s="88" t="s">
        <v>241</v>
      </c>
      <c r="B11" s="91">
        <f>'Výkaz zisku a ztráty'!K32/Rozvaha!I4</f>
        <v>4.4924756565358513E-2</v>
      </c>
      <c r="C11" s="91">
        <f>'Výkaz zisku a ztráty'!L32/Rozvaha!J4</f>
        <v>4.5969390810399254E-2</v>
      </c>
      <c r="D11" s="91">
        <f>'Výkaz zisku a ztráty'!M32/Rozvaha!K4</f>
        <v>4.6295617126907593E-2</v>
      </c>
      <c r="E11" s="91">
        <f>'Výkaz zisku a ztráty'!N32/Rozvaha!L4</f>
        <v>3.4170134308318036E-2</v>
      </c>
      <c r="F11" s="91">
        <f>'Výkaz zisku a ztráty'!O32/Rozvaha!M4</f>
        <v>3.3177703668413529E-2</v>
      </c>
      <c r="G11" s="91">
        <f>'Výkaz zisku a ztráty'!P32/Rozvaha!N4</f>
        <v>1.5304022450888681E-2</v>
      </c>
      <c r="H11" s="91">
        <f>'Výkaz zisku a ztráty'!Q32/Rozvaha!O4</f>
        <v>6.1015969640345974E-2</v>
      </c>
      <c r="I11" s="91">
        <f>'Výkaz zisku a ztráty'!R32/Rozvaha!P4</f>
        <v>4.7388475502354505E-2</v>
      </c>
      <c r="J11" s="91">
        <f>'Výkaz zisku a ztráty'!S32/Rozvaha!Q4</f>
        <v>3.0023302635322761E-2</v>
      </c>
    </row>
    <row r="12" spans="1:10" x14ac:dyDescent="0.3">
      <c r="A12" s="88" t="s">
        <v>242</v>
      </c>
      <c r="B12" s="91">
        <f>Rozvaha!I27/Rozvaha!I22</f>
        <v>5.4006955383573425E-2</v>
      </c>
      <c r="C12" s="91">
        <f>Rozvaha!J27/Rozvaha!J22</f>
        <v>5.3557666683472463E-2</v>
      </c>
      <c r="D12" s="91">
        <f>Rozvaha!K27/Rozvaha!K22</f>
        <v>5.6412869907926474E-2</v>
      </c>
      <c r="E12" s="91">
        <f>Rozvaha!L27/Rozvaha!L22</f>
        <v>4.1164168018607922E-2</v>
      </c>
      <c r="F12" s="91">
        <f>Rozvaha!M27/Rozvaha!M22</f>
        <v>3.6249811624051838E-2</v>
      </c>
      <c r="G12" s="91">
        <f>Rozvaha!N27/Rozvaha!N22</f>
        <v>7.8003314517837343E-3</v>
      </c>
      <c r="H12" s="91">
        <f>Rozvaha!O27/Rozvaha!O22</f>
        <v>6.8261109337358142E-2</v>
      </c>
      <c r="I12" s="91">
        <f>Rozvaha!P27/Rozvaha!P22</f>
        <v>5.1346722543766418E-2</v>
      </c>
      <c r="J12" s="91">
        <f>Rozvaha!Q27/Rozvaha!Q22</f>
        <v>1.7806144526179145E-2</v>
      </c>
    </row>
    <row r="13" spans="1:10" x14ac:dyDescent="0.3">
      <c r="A13" s="88" t="s">
        <v>243</v>
      </c>
      <c r="B13" s="91">
        <f>'Výkaz zisku a ztráty'!K57/('Výkaz zisku a ztráty'!K3+'Výkaz zisku a ztráty'!K4+'Výkaz zisku a ztráty'!K22+'Výkaz zisku a ztráty'!K33+'Výkaz zisku a ztráty'!K37+'Výkaz zisku a ztráty'!K41+'Výkaz zisku a ztráty'!K48)</f>
        <v>5.1669408972436187E-2</v>
      </c>
      <c r="C13" s="91">
        <f>'Výkaz zisku a ztráty'!L57/('Výkaz zisku a ztráty'!L3+'Výkaz zisku a ztráty'!L4+'Výkaz zisku a ztráty'!L22+'Výkaz zisku a ztráty'!L33+'Výkaz zisku a ztráty'!L37+'Výkaz zisku a ztráty'!L41+'Výkaz zisku a ztráty'!L48)</f>
        <v>7.239589925325908E-2</v>
      </c>
      <c r="D13" s="91">
        <f>'Výkaz zisku a ztráty'!M57/('Výkaz zisku a ztráty'!M3+'Výkaz zisku a ztráty'!M4+'Výkaz zisku a ztráty'!M22+'Výkaz zisku a ztráty'!M33+'Výkaz zisku a ztráty'!M37+'Výkaz zisku a ztráty'!M41+'Výkaz zisku a ztráty'!M48)</f>
        <v>7.5155026478975234E-2</v>
      </c>
      <c r="E13" s="91">
        <f>'Výkaz zisku a ztráty'!N57/('Výkaz zisku a ztráty'!N3+'Výkaz zisku a ztráty'!N4+'Výkaz zisku a ztráty'!N22+'Výkaz zisku a ztráty'!N33+'Výkaz zisku a ztráty'!N37+'Výkaz zisku a ztráty'!N41+'Výkaz zisku a ztráty'!N48)</f>
        <v>5.3362387878173614E-2</v>
      </c>
      <c r="F13" s="91">
        <f>'Výkaz zisku a ztráty'!O57/('Výkaz zisku a ztráty'!O3+'Výkaz zisku a ztráty'!O4+'Výkaz zisku a ztráty'!O22+'Výkaz zisku a ztráty'!O33+'Výkaz zisku a ztráty'!O37+'Výkaz zisku a ztráty'!O41+'Výkaz zisku a ztráty'!O48)</f>
        <v>4.6488218904511124E-2</v>
      </c>
      <c r="G13" s="91">
        <f>'Výkaz zisku a ztráty'!P57/('Výkaz zisku a ztráty'!P3+'Výkaz zisku a ztráty'!P4+'Výkaz zisku a ztráty'!P22+'Výkaz zisku a ztráty'!P33+'Výkaz zisku a ztráty'!P37+'Výkaz zisku a ztráty'!P41+'Výkaz zisku a ztráty'!P48)</f>
        <v>1.0461317357264015E-2</v>
      </c>
      <c r="H13" s="91">
        <f>'Výkaz zisku a ztráty'!Q57/('Výkaz zisku a ztráty'!Q3+'Výkaz zisku a ztráty'!Q4+'Výkaz zisku a ztráty'!Q22+'Výkaz zisku a ztráty'!Q33+'Výkaz zisku a ztráty'!Q37+'Výkaz zisku a ztráty'!Q41+'Výkaz zisku a ztráty'!Q48)</f>
        <v>9.1500470769494135E-2</v>
      </c>
      <c r="I13" s="91">
        <f>'Výkaz zisku a ztráty'!R57/('Výkaz zisku a ztráty'!R3+'Výkaz zisku a ztráty'!R4+'Výkaz zisku a ztráty'!R22+'Výkaz zisku a ztráty'!R33+'Výkaz zisku a ztráty'!R37+'Výkaz zisku a ztráty'!R41+'Výkaz zisku a ztráty'!R48)</f>
        <v>7.0517232251574996E-2</v>
      </c>
      <c r="J13" s="91">
        <f>'Výkaz zisku a ztráty'!S57/('Výkaz zisku a ztráty'!S3+'Výkaz zisku a ztráty'!S4+'Výkaz zisku a ztráty'!S22+'Výkaz zisku a ztráty'!S33+'Výkaz zisku a ztráty'!S37+'Výkaz zisku a ztráty'!S41+'Výkaz zisku a ztráty'!S48)</f>
        <v>2.5675622977030767E-2</v>
      </c>
    </row>
    <row r="14" spans="1:10" x14ac:dyDescent="0.3">
      <c r="A14" s="88" t="s">
        <v>244</v>
      </c>
      <c r="B14" s="91">
        <f t="shared" ref="B14:H14" si="0">1-B13</f>
        <v>0.94833059102756379</v>
      </c>
      <c r="C14" s="91">
        <f t="shared" si="0"/>
        <v>0.92760410074674093</v>
      </c>
      <c r="D14" s="91">
        <f t="shared" si="0"/>
        <v>0.92484497352102479</v>
      </c>
      <c r="E14" s="91">
        <f t="shared" si="0"/>
        <v>0.9466376121218264</v>
      </c>
      <c r="F14" s="91">
        <f t="shared" si="0"/>
        <v>0.95351178109548884</v>
      </c>
      <c r="G14" s="91">
        <f t="shared" si="0"/>
        <v>0.98953868264273603</v>
      </c>
      <c r="H14" s="91">
        <f t="shared" si="0"/>
        <v>0.90849952923050581</v>
      </c>
      <c r="I14" s="91">
        <f t="shared" ref="I14:J14" si="1">1-I13</f>
        <v>0.92948276774842498</v>
      </c>
      <c r="J14" s="91">
        <f t="shared" si="1"/>
        <v>0.97432437702296926</v>
      </c>
    </row>
    <row r="15" spans="1:10" x14ac:dyDescent="0.3">
      <c r="A15" s="88" t="s">
        <v>245</v>
      </c>
      <c r="B15" s="91">
        <f>'Výkaz zisku a ztráty'!K57/('Výkaz zisku a ztráty'!K5+'Výkaz zisku a ztráty'!K9+'Výkaz zisku a ztráty'!K10+'Výkaz zisku a ztráty'!K16+'Výkaz zisku a ztráty'!K11+'Výkaz zisku a ztráty'!K26+'Výkaz zisku a ztráty'!K36+'Výkaz zisku a ztráty'!K40+'Výkaz zisku a ztráty'!K44+'Výkaz zisku a ztráty'!K45+'Výkaz zisku a ztráty'!K49+'Výkaz zisku a ztráty'!K52+'Výkaz zisku a ztráty'!K56)</f>
        <v>5.4484595837459793E-2</v>
      </c>
      <c r="C15" s="91">
        <f>'Výkaz zisku a ztráty'!L57/('Výkaz zisku a ztráty'!L5+'Výkaz zisku a ztráty'!L9+'Výkaz zisku a ztráty'!L10+'Výkaz zisku a ztráty'!L16+'Výkaz zisku a ztráty'!L11+'Výkaz zisku a ztráty'!L26+'Výkaz zisku a ztráty'!L36+'Výkaz zisku a ztráty'!L40+'Výkaz zisku a ztráty'!L44+'Výkaz zisku a ztráty'!L45+'Výkaz zisku a ztráty'!L49+'Výkaz zisku a ztráty'!L52+'Výkaz zisku a ztráty'!L56)</f>
        <v>7.8046118160731343E-2</v>
      </c>
      <c r="D15" s="91">
        <f>'Výkaz zisku a ztráty'!M57/('Výkaz zisku a ztráty'!M5+'Výkaz zisku a ztráty'!M9+'Výkaz zisku a ztráty'!M10+'Výkaz zisku a ztráty'!M16+'Výkaz zisku a ztráty'!M11+'Výkaz zisku a ztráty'!M26+'Výkaz zisku a ztráty'!M36+'Výkaz zisku a ztráty'!M40+'Výkaz zisku a ztráty'!M44+'Výkaz zisku a ztráty'!M45+'Výkaz zisku a ztráty'!M49+'Výkaz zisku a ztráty'!M52+'Výkaz zisku a ztráty'!M56)</f>
        <v>8.1262296526139602E-2</v>
      </c>
      <c r="E15" s="91">
        <f>'Výkaz zisku a ztráty'!N57/('Výkaz zisku a ztráty'!N5+'Výkaz zisku a ztráty'!N9+'Výkaz zisku a ztráty'!N10+'Výkaz zisku a ztráty'!N16+'Výkaz zisku a ztráty'!N11+'Výkaz zisku a ztráty'!N26+'Výkaz zisku a ztráty'!N36+'Výkaz zisku a ztráty'!N40+'Výkaz zisku a ztráty'!N44+'Výkaz zisku a ztráty'!N45+'Výkaz zisku a ztráty'!N49+'Výkaz zisku a ztráty'!N52+'Výkaz zisku a ztráty'!N56)</f>
        <v>5.6370449678800859E-2</v>
      </c>
      <c r="F15" s="91">
        <f>'Výkaz zisku a ztráty'!O57/('Výkaz zisku a ztráty'!O5+'Výkaz zisku a ztráty'!O9+'Výkaz zisku a ztráty'!O10+'Výkaz zisku a ztráty'!O16+'Výkaz zisku a ztráty'!O11+'Výkaz zisku a ztráty'!O26+'Výkaz zisku a ztráty'!O36+'Výkaz zisku a ztráty'!O40+'Výkaz zisku a ztráty'!O44+'Výkaz zisku a ztráty'!O45+'Výkaz zisku a ztráty'!O49+'Výkaz zisku a ztráty'!O52+'Výkaz zisku a ztráty'!O56)</f>
        <v>4.8754739926863667E-2</v>
      </c>
      <c r="G15" s="91">
        <f>'Výkaz zisku a ztráty'!P57/('Výkaz zisku a ztráty'!P5+'Výkaz zisku a ztráty'!P9+'Výkaz zisku a ztráty'!P10+'Výkaz zisku a ztráty'!P16+'Výkaz zisku a ztráty'!P11+'Výkaz zisku a ztráty'!P26+'Výkaz zisku a ztráty'!P36+'Výkaz zisku a ztráty'!P40+'Výkaz zisku a ztráty'!P44+'Výkaz zisku a ztráty'!P45+'Výkaz zisku a ztráty'!P49+'Výkaz zisku a ztráty'!P52+'Výkaz zisku a ztráty'!P56)</f>
        <v>1.0571913499455361E-2</v>
      </c>
      <c r="H15" s="91">
        <f>'Výkaz zisku a ztráty'!Q57/('Výkaz zisku a ztráty'!Q5+'Výkaz zisku a ztráty'!Q9+'Výkaz zisku a ztráty'!Q10+'Výkaz zisku a ztráty'!Q16+'Výkaz zisku a ztráty'!Q11+'Výkaz zisku a ztráty'!Q26+'Výkaz zisku a ztráty'!Q36+'Výkaz zisku a ztráty'!Q40+'Výkaz zisku a ztráty'!Q44+'Výkaz zisku a ztráty'!Q45+'Výkaz zisku a ztráty'!Q49+'Výkaz zisku a ztráty'!Q52+'Výkaz zisku a ztráty'!Q56)</f>
        <v>0.10071603542491049</v>
      </c>
      <c r="I15" s="91">
        <f>'Výkaz zisku a ztráty'!R57/('Výkaz zisku a ztráty'!R5+'Výkaz zisku a ztráty'!R9+'Výkaz zisku a ztráty'!R10+'Výkaz zisku a ztráty'!R16+'Výkaz zisku a ztráty'!R11+'Výkaz zisku a ztráty'!R26+'Výkaz zisku a ztráty'!R36+'Výkaz zisku a ztráty'!R40+'Výkaz zisku a ztráty'!R44+'Výkaz zisku a ztráty'!R45+'Výkaz zisku a ztráty'!R49+'Výkaz zisku a ztráty'!R52+'Výkaz zisku a ztráty'!R56)</f>
        <v>7.5867175485561308E-2</v>
      </c>
      <c r="J15" s="91">
        <f>'Výkaz zisku a ztráty'!S57/('Výkaz zisku a ztráty'!S5+'Výkaz zisku a ztráty'!S9+'Výkaz zisku a ztráty'!S10+'Výkaz zisku a ztráty'!S16+'Výkaz zisku a ztráty'!S11+'Výkaz zisku a ztráty'!S26+'Výkaz zisku a ztráty'!S36+'Výkaz zisku a ztráty'!S40+'Výkaz zisku a ztráty'!S44+'Výkaz zisku a ztráty'!S45+'Výkaz zisku a ztráty'!S49+'Výkaz zisku a ztráty'!S52+'Výkaz zisku a ztráty'!S56)</f>
        <v>2.6352232975512917E-2</v>
      </c>
    </row>
    <row r="16" spans="1:10" x14ac:dyDescent="0.3">
      <c r="A16" s="83"/>
      <c r="B16" s="83"/>
      <c r="C16" s="83"/>
      <c r="D16" s="83"/>
      <c r="E16" s="83"/>
      <c r="F16" s="84"/>
    </row>
    <row r="17" spans="1:10" ht="15.6" x14ac:dyDescent="0.3">
      <c r="A17" s="85" t="s">
        <v>246</v>
      </c>
      <c r="B17" s="86">
        <v>2014</v>
      </c>
      <c r="C17" s="86">
        <v>2015</v>
      </c>
      <c r="D17" s="86">
        <v>2016</v>
      </c>
      <c r="E17" s="86">
        <v>2017</v>
      </c>
      <c r="F17" s="87">
        <v>2018</v>
      </c>
      <c r="G17" s="86">
        <v>2019</v>
      </c>
      <c r="H17" s="86">
        <v>2020</v>
      </c>
      <c r="I17" s="86">
        <v>2021</v>
      </c>
      <c r="J17" s="86">
        <v>2022</v>
      </c>
    </row>
    <row r="18" spans="1:10" x14ac:dyDescent="0.3">
      <c r="A18" s="88" t="s">
        <v>247</v>
      </c>
      <c r="B18" s="89">
        <f>('Výkaz zisku a ztráty'!K3+'Výkaz zisku a ztráty'!K4)/Rozvaha!I10</f>
        <v>1.6494078899571356</v>
      </c>
      <c r="C18" s="89">
        <f>('Výkaz zisku a ztráty'!L3+'Výkaz zisku a ztráty'!L4)/Rozvaha!J10</f>
        <v>1.0293376766583375</v>
      </c>
      <c r="D18" s="89">
        <f>('Výkaz zisku a ztráty'!M3+'Výkaz zisku a ztráty'!M4)/Rozvaha!K10</f>
        <v>1.0586500939442116</v>
      </c>
      <c r="E18" s="89">
        <f>('Výkaz zisku a ztráty'!N3+'Výkaz zisku a ztráty'!N4)/Rozvaha!L10</f>
        <v>1.1513524797948167</v>
      </c>
      <c r="F18" s="89">
        <f>('Výkaz zisku a ztráty'!O3+'Výkaz zisku a ztráty'!O4)/Rozvaha!M10</f>
        <v>1.0809437806386177</v>
      </c>
      <c r="G18" s="89">
        <f>('Výkaz zisku a ztráty'!P3+'Výkaz zisku a ztráty'!P4)/Rozvaha!N10</f>
        <v>1.1272120072166136</v>
      </c>
      <c r="H18" s="89">
        <f>('Výkaz zisku a ztráty'!Q3+'Výkaz zisku a ztráty'!Q4)/Rozvaha!O10</f>
        <v>1.1493696943199621</v>
      </c>
      <c r="I18" s="89">
        <f>('Výkaz zisku a ztráty'!R3+'Výkaz zisku a ztráty'!R4)/Rozvaha!P10</f>
        <v>1.0169526549622083</v>
      </c>
      <c r="J18" s="89">
        <f>('Výkaz zisku a ztráty'!S3+'Výkaz zisku a ztráty'!S4)/Rozvaha!Q10</f>
        <v>0.91815640403148679</v>
      </c>
    </row>
    <row r="19" spans="1:10" x14ac:dyDescent="0.3">
      <c r="A19" s="88" t="s">
        <v>248</v>
      </c>
      <c r="B19" s="89">
        <f t="shared" ref="B19:H19" si="2">365/B18</f>
        <v>221.29153269024653</v>
      </c>
      <c r="C19" s="89">
        <f t="shared" si="2"/>
        <v>354.59694935576761</v>
      </c>
      <c r="D19" s="89">
        <f t="shared" si="2"/>
        <v>344.7786970292704</v>
      </c>
      <c r="E19" s="89">
        <f t="shared" si="2"/>
        <v>317.01846863181891</v>
      </c>
      <c r="F19" s="89">
        <f t="shared" si="2"/>
        <v>337.66788480374004</v>
      </c>
      <c r="G19" s="89">
        <f t="shared" si="2"/>
        <v>323.80776434530901</v>
      </c>
      <c r="H19" s="89">
        <f t="shared" si="2"/>
        <v>317.56535934763485</v>
      </c>
      <c r="I19" s="89">
        <f t="shared" ref="I19:J19" si="3">365/I18</f>
        <v>358.91543054535219</v>
      </c>
      <c r="J19" s="89">
        <f t="shared" si="3"/>
        <v>397.53575577901529</v>
      </c>
    </row>
    <row r="20" spans="1:10" x14ac:dyDescent="0.3">
      <c r="A20" s="88" t="s">
        <v>249</v>
      </c>
      <c r="B20" s="89">
        <f>('Výkaz zisku a ztráty'!K3+'Výkaz zisku a ztráty'!K4)/Rozvaha!I13</f>
        <v>7.4832719881338239</v>
      </c>
      <c r="C20" s="89">
        <f>('Výkaz zisku a ztráty'!L3+'Výkaz zisku a ztráty'!L4)/Rozvaha!J13</f>
        <v>7.258971249197403</v>
      </c>
      <c r="D20" s="89">
        <f>('Výkaz zisku a ztráty'!M3+'Výkaz zisku a ztráty'!M4)/Rozvaha!K13</f>
        <v>5.2975891996142721</v>
      </c>
      <c r="E20" s="89">
        <f>('Výkaz zisku a ztráty'!N3+'Výkaz zisku a ztráty'!N4)/Rozvaha!L13</f>
        <v>6.5463486321501243</v>
      </c>
      <c r="F20" s="89">
        <f>('Výkaz zisku a ztráty'!O3+'Výkaz zisku a ztráty'!O4)/Rozvaha!M13</f>
        <v>6.8452870584258267</v>
      </c>
      <c r="G20" s="89">
        <f>('Výkaz zisku a ztráty'!P3+'Výkaz zisku a ztráty'!P4)/Rozvaha!N13</f>
        <v>6.0518316245040964</v>
      </c>
      <c r="H20" s="89">
        <f>('Výkaz zisku a ztráty'!Q3+'Výkaz zisku a ztráty'!Q4)/Rozvaha!O13</f>
        <v>5.5371889946904211</v>
      </c>
      <c r="I20" s="89">
        <f>('Výkaz zisku a ztráty'!R3+'Výkaz zisku a ztráty'!R4)/Rozvaha!P13</f>
        <v>6.578950074553962</v>
      </c>
      <c r="J20" s="89">
        <f>('Výkaz zisku a ztráty'!S3+'Výkaz zisku a ztráty'!S4)/Rozvaha!Q13</f>
        <v>6.8147318990935899</v>
      </c>
    </row>
    <row r="21" spans="1:10" x14ac:dyDescent="0.3">
      <c r="A21" s="88" t="s">
        <v>250</v>
      </c>
      <c r="B21" s="89">
        <f t="shared" ref="B21:H21" si="4">365/B20</f>
        <v>48.775455519828512</v>
      </c>
      <c r="C21" s="89">
        <f t="shared" si="4"/>
        <v>50.282607200070764</v>
      </c>
      <c r="D21" s="89">
        <f t="shared" si="4"/>
        <v>68.899264598805885</v>
      </c>
      <c r="E21" s="89">
        <f t="shared" si="4"/>
        <v>55.756272772798702</v>
      </c>
      <c r="F21" s="89">
        <f t="shared" si="4"/>
        <v>53.321357728997427</v>
      </c>
      <c r="G21" s="89">
        <f t="shared" si="4"/>
        <v>60.312319087348882</v>
      </c>
      <c r="H21" s="89">
        <f t="shared" si="4"/>
        <v>65.917923399399299</v>
      </c>
      <c r="I21" s="89">
        <f t="shared" ref="I21:J21" si="5">365/I20</f>
        <v>55.479977179298807</v>
      </c>
      <c r="J21" s="89">
        <f t="shared" si="5"/>
        <v>53.560434277472858</v>
      </c>
    </row>
    <row r="22" spans="1:10" x14ac:dyDescent="0.3">
      <c r="A22" s="88" t="s">
        <v>276</v>
      </c>
      <c r="B22" s="89">
        <f>B19+B21</f>
        <v>270.06698821007501</v>
      </c>
      <c r="C22" s="89">
        <f t="shared" ref="C22:H22" si="6">C19+C21</f>
        <v>404.87955655583835</v>
      </c>
      <c r="D22" s="89">
        <f t="shared" si="6"/>
        <v>413.67796162807628</v>
      </c>
      <c r="E22" s="89">
        <f t="shared" si="6"/>
        <v>372.7747414046176</v>
      </c>
      <c r="F22" s="89">
        <f t="shared" si="6"/>
        <v>390.98924253273748</v>
      </c>
      <c r="G22" s="89">
        <f t="shared" si="6"/>
        <v>384.12008343265791</v>
      </c>
      <c r="H22" s="89">
        <f t="shared" si="6"/>
        <v>383.48328274703414</v>
      </c>
      <c r="I22" s="89">
        <f t="shared" ref="I22:J22" si="7">I19+I21</f>
        <v>414.39540772465102</v>
      </c>
      <c r="J22" s="89">
        <f t="shared" si="7"/>
        <v>451.09619005648813</v>
      </c>
    </row>
    <row r="23" spans="1:10" x14ac:dyDescent="0.3">
      <c r="A23" s="88" t="s">
        <v>251</v>
      </c>
      <c r="B23" s="89">
        <f>('Výkaz zisku a ztráty'!K3+'Výkaz zisku a ztráty'!K4)/Rozvaha!I36</f>
        <v>1.8099654530959342</v>
      </c>
      <c r="C23" s="89">
        <f>('Výkaz zisku a ztráty'!L3+'Výkaz zisku a ztráty'!L4)/Rozvaha!J36</f>
        <v>1.3415386643813039</v>
      </c>
      <c r="D23" s="89">
        <f>('Výkaz zisku a ztráty'!M3+'Výkaz zisku a ztráty'!M4)/Rozvaha!K36</f>
        <v>1.3952531525010476</v>
      </c>
      <c r="E23" s="89">
        <f>('Výkaz zisku a ztráty'!N3+'Výkaz zisku a ztráty'!N4)/Rozvaha!L36</f>
        <v>1.5612050953696839</v>
      </c>
      <c r="F23" s="89">
        <f>('Výkaz zisku a ztráty'!O3+'Výkaz zisku a ztráty'!O4)/Rozvaha!M36</f>
        <v>1.4575675416286771</v>
      </c>
      <c r="G23" s="89">
        <f>('Výkaz zisku a ztráty'!P3+'Výkaz zisku a ztráty'!P4)/Rozvaha!N36</f>
        <v>1.8335362617464332</v>
      </c>
      <c r="H23" s="89">
        <f>('Výkaz zisku a ztráty'!Q3+'Výkaz zisku a ztráty'!Q4)/Rozvaha!O36</f>
        <v>1.8912352747219807</v>
      </c>
      <c r="I23" s="89">
        <f>('Výkaz zisku a ztráty'!R3+'Výkaz zisku a ztráty'!R4)/Rozvaha!P36</f>
        <v>1.6965301441243155</v>
      </c>
      <c r="J23" s="89">
        <f>('Výkaz zisku a ztráty'!S3+'Výkaz zisku a ztráty'!S4)/Rozvaha!Q36</f>
        <v>1.5782518526012292</v>
      </c>
    </row>
    <row r="24" spans="1:10" x14ac:dyDescent="0.3">
      <c r="A24" s="88" t="s">
        <v>252</v>
      </c>
      <c r="B24" s="89">
        <f t="shared" ref="B24:H24" si="8">365/B23</f>
        <v>201.66130760986067</v>
      </c>
      <c r="C24" s="89">
        <f t="shared" si="8"/>
        <v>272.07564693510506</v>
      </c>
      <c r="D24" s="89">
        <f t="shared" si="8"/>
        <v>261.60127238968983</v>
      </c>
      <c r="E24" s="89">
        <f t="shared" si="8"/>
        <v>233.79375399333438</v>
      </c>
      <c r="F24" s="89">
        <f t="shared" si="8"/>
        <v>250.4172119476201</v>
      </c>
      <c r="G24" s="89">
        <f t="shared" si="8"/>
        <v>199.06887451047163</v>
      </c>
      <c r="H24" s="89">
        <f t="shared" si="8"/>
        <v>192.99555421715391</v>
      </c>
      <c r="I24" s="89">
        <f t="shared" ref="I24:J24" si="9">365/I23</f>
        <v>215.1450130515654</v>
      </c>
      <c r="J24" s="89">
        <f t="shared" si="9"/>
        <v>231.26853892071631</v>
      </c>
    </row>
    <row r="25" spans="1:10" x14ac:dyDescent="0.3">
      <c r="A25" s="88" t="s">
        <v>253</v>
      </c>
      <c r="B25" s="89">
        <f t="shared" ref="B25:H25" si="10">B24-B21</f>
        <v>152.88585209003216</v>
      </c>
      <c r="C25" s="89">
        <f t="shared" si="10"/>
        <v>221.79303973503428</v>
      </c>
      <c r="D25" s="89">
        <f t="shared" si="10"/>
        <v>192.70200779088395</v>
      </c>
      <c r="E25" s="89">
        <f t="shared" si="10"/>
        <v>178.03748122053568</v>
      </c>
      <c r="F25" s="89">
        <f t="shared" si="10"/>
        <v>197.09585421862266</v>
      </c>
      <c r="G25" s="89">
        <f t="shared" si="10"/>
        <v>138.75655542312273</v>
      </c>
      <c r="H25" s="89">
        <f t="shared" si="10"/>
        <v>127.07763081775461</v>
      </c>
      <c r="I25" s="89">
        <f t="shared" ref="I25" si="11">I24-I21</f>
        <v>159.6650358722666</v>
      </c>
      <c r="J25" s="89">
        <f t="shared" ref="J25" si="12">J24-J21</f>
        <v>177.70810464324344</v>
      </c>
    </row>
    <row r="26" spans="1:10" x14ac:dyDescent="0.3">
      <c r="A26" s="83"/>
      <c r="B26" s="83"/>
      <c r="C26" s="83"/>
      <c r="D26" s="83"/>
      <c r="E26" s="83"/>
      <c r="F26" s="84"/>
    </row>
    <row r="27" spans="1:10" ht="15.6" x14ac:dyDescent="0.3">
      <c r="A27" s="85" t="s">
        <v>254</v>
      </c>
      <c r="B27" s="86">
        <v>2014</v>
      </c>
      <c r="C27" s="86">
        <v>2015</v>
      </c>
      <c r="D27" s="86">
        <v>2016</v>
      </c>
      <c r="E27" s="86">
        <v>2017</v>
      </c>
      <c r="F27" s="87">
        <v>2018</v>
      </c>
      <c r="G27" s="86">
        <v>2019</v>
      </c>
      <c r="H27" s="86">
        <v>2020</v>
      </c>
      <c r="I27" s="86">
        <v>2021</v>
      </c>
      <c r="J27" s="86">
        <v>2022</v>
      </c>
    </row>
    <row r="28" spans="1:10" x14ac:dyDescent="0.3">
      <c r="A28" s="88" t="s">
        <v>255</v>
      </c>
      <c r="B28" s="91">
        <f>Rozvaha!I29/Rozvaha!I4</f>
        <v>0.46061194714927378</v>
      </c>
      <c r="C28" s="91">
        <f>Rozvaha!J29/Rozvaha!J4</f>
        <v>0.40585407167238413</v>
      </c>
      <c r="D28" s="91">
        <f>Rozvaha!K29/Rozvaha!K4</f>
        <v>0.43176299361852444</v>
      </c>
      <c r="E28" s="91">
        <f>Rozvaha!L29/Rozvaha!L4</f>
        <v>0.39787518055876331</v>
      </c>
      <c r="F28" s="91">
        <f>Rozvaha!M29/Rozvaha!M4</f>
        <v>0.39261743687470224</v>
      </c>
      <c r="G28" s="91">
        <f>Rozvaha!N29/Rozvaha!N4</f>
        <v>0.33173266812181684</v>
      </c>
      <c r="H28" s="91">
        <f>Rozvaha!O29/Rozvaha!O4</f>
        <v>0.33584018801410104</v>
      </c>
      <c r="I28" s="91">
        <f>Rozvaha!P29/Rozvaha!P4</f>
        <v>0.34698587296452066</v>
      </c>
      <c r="J28" s="91">
        <f>Rozvaha!Q29/Rozvaha!Q4</f>
        <v>0.33399843688659503</v>
      </c>
    </row>
    <row r="29" spans="1:10" x14ac:dyDescent="0.3">
      <c r="A29" s="88" t="s">
        <v>256</v>
      </c>
      <c r="B29" s="91">
        <f>Rozvaha!I22/Rozvaha!I21</f>
        <v>0.53854381823546771</v>
      </c>
      <c r="C29" s="91">
        <f>Rozvaha!J22/Rozvaha!J21</f>
        <v>0.5938807285295099</v>
      </c>
      <c r="D29" s="91">
        <f>Rozvaha!K22/Rozvaha!K21</f>
        <v>0.56813663229497624</v>
      </c>
      <c r="E29" s="91">
        <f>Rozvaha!L22/Rozvaha!L21</f>
        <v>0.60081735869441821</v>
      </c>
      <c r="F29" s="91">
        <f>Rozvaha!M22/Rozvaha!M21</f>
        <v>0.60697856121962834</v>
      </c>
      <c r="G29" s="91">
        <f>Rozvaha!N22/Rozvaha!N21</f>
        <v>0.66731524789522922</v>
      </c>
      <c r="H29" s="91">
        <f>Rozvaha!O22/Rozvaha!O21</f>
        <v>0.66369362948122745</v>
      </c>
      <c r="I29" s="91">
        <f>Rozvaha!P22/Rozvaha!P21</f>
        <v>0.65275171645278407</v>
      </c>
      <c r="J29" s="91">
        <f>Rozvaha!Q22/Rozvaha!Q21</f>
        <v>0.66587190393695683</v>
      </c>
    </row>
    <row r="30" spans="1:10" x14ac:dyDescent="0.3">
      <c r="A30" s="88" t="s">
        <v>257</v>
      </c>
      <c r="B30" s="89">
        <f t="shared" ref="B30:H30" si="13">1/B29</f>
        <v>1.8568591192384083</v>
      </c>
      <c r="C30" s="89">
        <f t="shared" si="13"/>
        <v>1.6838397879588882</v>
      </c>
      <c r="D30" s="89">
        <f t="shared" si="13"/>
        <v>1.7601399789352088</v>
      </c>
      <c r="E30" s="89">
        <f t="shared" si="13"/>
        <v>1.664399314582071</v>
      </c>
      <c r="F30" s="89">
        <f t="shared" si="13"/>
        <v>1.6475046466067214</v>
      </c>
      <c r="G30" s="89">
        <f t="shared" si="13"/>
        <v>1.4985421105753056</v>
      </c>
      <c r="H30" s="89">
        <f t="shared" si="13"/>
        <v>1.5067192987548255</v>
      </c>
      <c r="I30" s="89">
        <f t="shared" ref="I30:J30" si="14">1/I29</f>
        <v>1.5319760558183591</v>
      </c>
      <c r="J30" s="89">
        <f t="shared" si="14"/>
        <v>1.50179035049762</v>
      </c>
    </row>
    <row r="31" spans="1:10" x14ac:dyDescent="0.3">
      <c r="A31" s="88" t="s">
        <v>258</v>
      </c>
      <c r="B31" s="89">
        <f>Rozvaha!I29/Rozvaha!I22</f>
        <v>0.85529149449428887</v>
      </c>
      <c r="C31" s="89">
        <f>Rozvaha!J29/Rozvaha!J22</f>
        <v>0.68339323398707874</v>
      </c>
      <c r="D31" s="89">
        <f>Rozvaha!K29/Rozvaha!K22</f>
        <v>0.75996330649271226</v>
      </c>
      <c r="E31" s="89">
        <f>Rozvaha!L29/Rozvaha!L22</f>
        <v>0.66222317781122342</v>
      </c>
      <c r="F31" s="89">
        <f>Rozvaha!M29/Rozvaha!M22</f>
        <v>0.64683905158989297</v>
      </c>
      <c r="G31" s="89">
        <f>Rozvaha!N29/Rozvaha!N22</f>
        <v>0.49711537263404482</v>
      </c>
      <c r="H31" s="89">
        <f>Rozvaha!O29/Rozvaha!O22</f>
        <v>0.50601689257829507</v>
      </c>
      <c r="I31" s="89">
        <f>Rozvaha!P29/Rozvaha!P22</f>
        <v>0.53157404908887651</v>
      </c>
      <c r="J31" s="89">
        <f>Rozvaha!Q29/Rozvaha!Q22</f>
        <v>0.50159562959757675</v>
      </c>
    </row>
    <row r="32" spans="1:10" x14ac:dyDescent="0.3">
      <c r="A32" s="88" t="s">
        <v>259</v>
      </c>
      <c r="B32" s="89">
        <f>'Výkaz zisku a ztráty'!K32/('Výkaz zisku a ztráty'!K45+'Výkaz zisku a ztráty'!K49)</f>
        <v>5.1610169491525424</v>
      </c>
      <c r="C32" s="89">
        <f>'Výkaz zisku a ztráty'!L32/('Výkaz zisku a ztráty'!L45+'Výkaz zisku a ztráty'!L49)</f>
        <v>6.2337587006960558</v>
      </c>
      <c r="D32" s="89">
        <f>'Výkaz zisku a ztráty'!M32/('Výkaz zisku a ztráty'!M45+'Výkaz zisku a ztráty'!M49)</f>
        <v>7.2546884452510589</v>
      </c>
      <c r="E32" s="89">
        <f>'Výkaz zisku a ztráty'!N32/('Výkaz zisku a ztráty'!N45+'Výkaz zisku a ztráty'!N49)</f>
        <v>6.6481340441736485</v>
      </c>
      <c r="F32" s="89">
        <f>'Výkaz zisku a ztráty'!O32/('Výkaz zisku a ztráty'!O45+'Výkaz zisku a ztráty'!O49)</f>
        <v>5.1723113487819372</v>
      </c>
      <c r="G32" s="89">
        <f>'Výkaz zisku a ztráty'!P32/('Výkaz zisku a ztráty'!P45+'Výkaz zisku a ztráty'!P49)</f>
        <v>1.7306064880112835</v>
      </c>
      <c r="H32" s="89">
        <f>'Výkaz zisku a ztráty'!Q32/('Výkaz zisku a ztráty'!Q45+'Výkaz zisku a ztráty'!Q49)</f>
        <v>10.967451523545707</v>
      </c>
      <c r="I32" s="89">
        <f>'Výkaz zisku a ztráty'!R32/('Výkaz zisku a ztráty'!R45+'Výkaz zisku a ztráty'!R49)</f>
        <v>8.7189153439153433</v>
      </c>
      <c r="J32" s="89">
        <f>'Výkaz zisku a ztráty'!S32/('Výkaz zisku a ztráty'!S45+'Výkaz zisku a ztráty'!S49)</f>
        <v>1.7428392222454527</v>
      </c>
    </row>
    <row r="33" spans="1:10" ht="32.4" customHeight="1" x14ac:dyDescent="0.3">
      <c r="A33" s="92" t="s">
        <v>260</v>
      </c>
      <c r="B33" s="93">
        <f>('Výkaz zisku a ztráty'!K45+'Výkaz zisku a ztráty'!K49)/(Rozvaha!I22+Rozvaha!I34+Rozvaha!I37+Rozvaha!I33)</f>
        <v>1.0677229952545645E-2</v>
      </c>
      <c r="C33" s="93">
        <f>('Výkaz zisku a ztráty'!L45+'Výkaz zisku a ztráty'!L49)/(Rozvaha!J22+Rozvaha!J34+Rozvaha!J37+Rozvaha!J33)</f>
        <v>9.091963843095064E-3</v>
      </c>
      <c r="D33" s="93">
        <f>('Výkaz zisku a ztráty'!M45+'Výkaz zisku a ztráty'!M49)/(Rozvaha!K22+Rozvaha!K34+Rozvaha!K37+Rozvaha!K33)</f>
        <v>7.6675093350650559E-3</v>
      </c>
      <c r="E33" s="93">
        <f>('Výkaz zisku a ztráty'!N45+'Výkaz zisku a ztráty'!N49)/(Rozvaha!L22+Rozvaha!L34+Rozvaha!L37+Rozvaha!L33)</f>
        <v>6.0244280693382765E-3</v>
      </c>
      <c r="F33" s="93">
        <f>('Výkaz zisku a ztráty'!O45+'Výkaz zisku a ztráty'!O49)/(Rozvaha!M22+Rozvaha!M34+Rozvaha!M37+Rozvaha!M33)</f>
        <v>7.8069915018369393E-3</v>
      </c>
      <c r="G33" s="93">
        <f>('Výkaz zisku a ztráty'!P45+'Výkaz zisku a ztráty'!P49)/(Rozvaha!N22+Rozvaha!N34+Rozvaha!N37+Rozvaha!N33)</f>
        <v>9.9821663225079776E-3</v>
      </c>
      <c r="H33" s="93">
        <f>('Výkaz zisku a ztráty'!Q45+'Výkaz zisku a ztráty'!Q49)/(Rozvaha!O22+Rozvaha!O34+Rozvaha!O37+Rozvaha!O33)</f>
        <v>6.3651030141672026E-3</v>
      </c>
      <c r="I33" s="93">
        <f>('Výkaz zisku a ztráty'!R45+'Výkaz zisku a ztráty'!R49)/(Rozvaha!P22+Rozvaha!P34+Rozvaha!P37+Rozvaha!P33)</f>
        <v>6.2696704691057011E-3</v>
      </c>
      <c r="J33" s="93">
        <f>('Výkaz zisku a ztráty'!S45+'Výkaz zisku a ztráty'!S49)/(Rozvaha!Q22+Rozvaha!Q34+Rozvaha!Q37+Rozvaha!Q33)</f>
        <v>1.9885832124162763E-2</v>
      </c>
    </row>
    <row r="34" spans="1:10" x14ac:dyDescent="0.3">
      <c r="A34" s="88" t="s">
        <v>261</v>
      </c>
      <c r="B34" s="94" t="s">
        <v>262</v>
      </c>
      <c r="C34" s="94" t="s">
        <v>262</v>
      </c>
      <c r="D34" s="94" t="s">
        <v>262</v>
      </c>
      <c r="E34" s="94" t="s">
        <v>262</v>
      </c>
      <c r="F34" s="94" t="s">
        <v>262</v>
      </c>
      <c r="G34" s="54" t="s">
        <v>262</v>
      </c>
      <c r="H34" s="54" t="s">
        <v>262</v>
      </c>
      <c r="I34" s="54" t="s">
        <v>262</v>
      </c>
      <c r="J34" s="54" t="s">
        <v>262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0FB40-40AB-4519-9669-3135BAB3CC8C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174" t="s">
        <v>271</v>
      </c>
    </row>
  </sheetData>
  <hyperlinks>
    <hyperlink ref="A1" r:id="rId1" xr:uid="{17EF88AB-68B2-4395-9CEC-086454B1A00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I21" sqref="I21"/>
    </sheetView>
  </sheetViews>
  <sheetFormatPr defaultRowHeight="14.4" x14ac:dyDescent="0.3"/>
  <sheetData>
    <row r="1" spans="1:7" x14ac:dyDescent="0.3">
      <c r="A1" t="s">
        <v>263</v>
      </c>
    </row>
    <row r="3" spans="1:7" x14ac:dyDescent="0.3">
      <c r="B3" s="54">
        <v>2014</v>
      </c>
      <c r="C3" s="54">
        <v>2015</v>
      </c>
      <c r="D3" s="54">
        <v>2016</v>
      </c>
      <c r="E3" s="54">
        <v>2017</v>
      </c>
      <c r="F3" s="54">
        <v>2018</v>
      </c>
      <c r="G3" s="54">
        <v>2019</v>
      </c>
    </row>
    <row r="4" spans="1:7" x14ac:dyDescent="0.3">
      <c r="A4" s="152" t="s">
        <v>264</v>
      </c>
      <c r="B4" s="153">
        <v>0.31</v>
      </c>
      <c r="C4" s="54">
        <v>0.25</v>
      </c>
      <c r="D4" s="54">
        <v>0.28999999999999998</v>
      </c>
      <c r="E4" s="153">
        <v>0.23</v>
      </c>
      <c r="F4" s="153">
        <v>0.27</v>
      </c>
      <c r="G4" s="54">
        <v>0.17</v>
      </c>
    </row>
    <row r="5" spans="1:7" x14ac:dyDescent="0.3">
      <c r="A5" s="152" t="s">
        <v>265</v>
      </c>
      <c r="B5" s="153">
        <v>0.89650761421512437</v>
      </c>
      <c r="C5" s="54">
        <v>0.78</v>
      </c>
      <c r="D5" s="154">
        <v>0.88040574172120223</v>
      </c>
      <c r="E5" s="153">
        <v>0.93</v>
      </c>
      <c r="F5" s="153">
        <v>0.87</v>
      </c>
      <c r="G5" s="54">
        <v>0.59</v>
      </c>
    </row>
    <row r="6" spans="1:7" x14ac:dyDescent="0.3">
      <c r="A6" s="152" t="s">
        <v>266</v>
      </c>
      <c r="B6" s="153">
        <v>1.27</v>
      </c>
      <c r="C6" s="154">
        <v>1.0757138877144297</v>
      </c>
      <c r="D6" s="154">
        <v>1.1905764586293279</v>
      </c>
      <c r="E6" s="153">
        <v>1.23</v>
      </c>
      <c r="F6" s="153">
        <v>1.1499999999999999</v>
      </c>
      <c r="G6" s="54">
        <v>0.75</v>
      </c>
    </row>
    <row r="9" spans="1:7" x14ac:dyDescent="0.3">
      <c r="A9" s="54"/>
      <c r="B9" s="54">
        <v>2014</v>
      </c>
      <c r="C9" s="54">
        <v>2015</v>
      </c>
      <c r="D9" s="54">
        <v>2016</v>
      </c>
      <c r="E9" s="54">
        <v>2017</v>
      </c>
      <c r="F9" s="54">
        <v>2018</v>
      </c>
      <c r="G9" s="54">
        <v>2019</v>
      </c>
    </row>
    <row r="10" spans="1:7" x14ac:dyDescent="0.3">
      <c r="A10" s="152" t="s">
        <v>267</v>
      </c>
      <c r="B10" s="155">
        <v>5.4100000000000002E-2</v>
      </c>
      <c r="C10" s="155">
        <v>8.5999999999999993E-2</v>
      </c>
      <c r="D10" s="155">
        <v>0.1004</v>
      </c>
      <c r="E10" s="155">
        <v>0.106</v>
      </c>
      <c r="F10" s="155">
        <v>0.1173</v>
      </c>
      <c r="G10" s="155">
        <v>0.1318</v>
      </c>
    </row>
    <row r="11" spans="1:7" x14ac:dyDescent="0.3">
      <c r="A11" s="152" t="s">
        <v>268</v>
      </c>
      <c r="B11" s="155">
        <v>4.7199999999999999E-2</v>
      </c>
      <c r="C11" s="155">
        <v>0.1193</v>
      </c>
      <c r="D11" s="155">
        <v>0.14799999999999999</v>
      </c>
      <c r="E11" s="155">
        <v>0.1565</v>
      </c>
      <c r="F11" s="155">
        <v>0.17899999999999999</v>
      </c>
      <c r="G11" s="96">
        <v>0.22220000000000001</v>
      </c>
    </row>
    <row r="14" spans="1:7" x14ac:dyDescent="0.3">
      <c r="B14" s="54">
        <v>2014</v>
      </c>
      <c r="C14" s="54">
        <v>2015</v>
      </c>
      <c r="D14" s="54">
        <v>2016</v>
      </c>
      <c r="E14" s="54">
        <v>2017</v>
      </c>
      <c r="F14" s="54">
        <v>2018</v>
      </c>
      <c r="G14" s="54">
        <v>2019</v>
      </c>
    </row>
    <row r="15" spans="1:7" x14ac:dyDescent="0.3">
      <c r="A15" s="152" t="s">
        <v>269</v>
      </c>
      <c r="B15" s="155">
        <v>1.5800000000000002E-2</v>
      </c>
      <c r="C15" s="155">
        <v>5.7999999999999996E-3</v>
      </c>
      <c r="D15" s="155">
        <v>4.3E-3</v>
      </c>
      <c r="E15" s="155">
        <v>9.7999999999999997E-3</v>
      </c>
      <c r="F15" s="155">
        <v>1.9800000000000002E-2</v>
      </c>
      <c r="G15" s="155">
        <v>1.55E-2</v>
      </c>
    </row>
    <row r="16" spans="1:7" x14ac:dyDescent="0.3">
      <c r="A16" s="152" t="s">
        <v>270</v>
      </c>
      <c r="B16" s="155">
        <v>0.13636605821418657</v>
      </c>
      <c r="C16" s="155">
        <v>0.14230000000000001</v>
      </c>
      <c r="D16" s="155">
        <v>7.8200000000000006E-2</v>
      </c>
      <c r="E16" s="155">
        <v>0.1182</v>
      </c>
      <c r="F16" s="155">
        <v>0.13869999999999999</v>
      </c>
      <c r="G16" s="155">
        <v>0.1245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F055260BDF654D8EDFCCF2A02A9508" ma:contentTypeVersion="5" ma:contentTypeDescription="Vytvoří nový dokument" ma:contentTypeScope="" ma:versionID="207cc57882959c843c150628d9315de7">
  <xsd:schema xmlns:xsd="http://www.w3.org/2001/XMLSchema" xmlns:xs="http://www.w3.org/2001/XMLSchema" xmlns:p="http://schemas.microsoft.com/office/2006/metadata/properties" xmlns:ns2="6fe84f35-634c-4b6d-9d14-2f446a0989d8" targetNamespace="http://schemas.microsoft.com/office/2006/metadata/properties" ma:root="true" ma:fieldsID="86e189f41cf5f996ff83c064dc968012" ns2:_="">
    <xsd:import namespace="6fe84f35-634c-4b6d-9d14-2f446a098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4f35-634c-4b6d-9d14-2f446a0989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61741-F646-4C14-AE36-EE468CEC32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9B6199-9FC1-4B2A-89FF-3505A3DAC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84f35-634c-4b6d-9d14-2f446a098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40C88-BA7A-4216-ACFD-41F94742C8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Název firmy a základní údaje</vt:lpstr>
      <vt:lpstr>Rozvaha</vt:lpstr>
      <vt:lpstr>Výkaz zisku a ztráty</vt:lpstr>
      <vt:lpstr>Poměrová analýza</vt:lpstr>
      <vt:lpstr>List1</vt:lpstr>
      <vt:lpstr>Oborové hodnoty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ruckova</dc:creator>
  <cp:keywords/>
  <dc:description/>
  <cp:lastModifiedBy>Tetiana Konieva</cp:lastModifiedBy>
  <cp:revision/>
  <dcterms:created xsi:type="dcterms:W3CDTF">2020-08-31T07:29:34Z</dcterms:created>
  <dcterms:modified xsi:type="dcterms:W3CDTF">2024-04-27T20:12:31Z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0x0101008EF055260BDF654D8EDFCCF2A02A9508</vt:lpwstr>
  </property>
</Properties>
</file>