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polo\Downloads\"/>
    </mc:Choice>
  </mc:AlternateContent>
  <xr:revisionPtr revIDLastSave="0" documentId="13_ncr:1_{DC3640F5-C36F-470A-9F88-2B70332C6348}" xr6:coauthVersionLast="47" xr6:coauthVersionMax="47" xr10:uidLastSave="{00000000-0000-0000-0000-000000000000}"/>
  <bookViews>
    <workbookView xWindow="-108" yWindow="-108" windowWidth="23256" windowHeight="12456" xr2:uid="{548F1869-4232-43D4-ACAD-108B4CB1F64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2" i="1" l="1"/>
  <c r="F254" i="1"/>
  <c r="F251" i="1"/>
  <c r="F249" i="1"/>
  <c r="F247" i="1"/>
  <c r="F246" i="1"/>
  <c r="F248" i="1" s="1"/>
  <c r="G245" i="1"/>
  <c r="F253" i="1"/>
  <c r="H212" i="1"/>
  <c r="F232" i="1"/>
  <c r="F215" i="1"/>
  <c r="F212" i="1"/>
  <c r="F47" i="1"/>
  <c r="F34" i="1"/>
  <c r="G25" i="1"/>
  <c r="H106" i="1" s="1"/>
  <c r="H25" i="1"/>
  <c r="I107" i="1" s="1"/>
  <c r="I25" i="1"/>
  <c r="I108" i="1" s="1"/>
  <c r="F25" i="1"/>
  <c r="F116" i="1" s="1"/>
  <c r="G161" i="1"/>
  <c r="H142" i="1"/>
  <c r="G193" i="1" s="1"/>
  <c r="J23" i="1"/>
  <c r="E6" i="1"/>
  <c r="Q22" i="1"/>
  <c r="F148" i="1"/>
  <c r="I149" i="1"/>
  <c r="H149" i="1"/>
  <c r="G149" i="1"/>
  <c r="F149" i="1"/>
  <c r="F155" i="1"/>
  <c r="G141" i="1" s="1"/>
  <c r="G93" i="1"/>
  <c r="H93" i="1"/>
  <c r="I93" i="1"/>
  <c r="F93" i="1"/>
  <c r="F83" i="1"/>
  <c r="J95" i="1"/>
  <c r="G95" i="1"/>
  <c r="H95" i="1"/>
  <c r="I95" i="1"/>
  <c r="F95" i="1"/>
  <c r="G83" i="1"/>
  <c r="H83" i="1"/>
  <c r="I83" i="1"/>
  <c r="J72" i="1"/>
  <c r="J83" i="1" s="1"/>
  <c r="J69" i="1"/>
  <c r="G49" i="1"/>
  <c r="H49" i="1"/>
  <c r="I49" i="1"/>
  <c r="J49" i="1"/>
  <c r="K49" i="1"/>
  <c r="L49" i="1"/>
  <c r="F49" i="1"/>
  <c r="L45" i="1"/>
  <c r="G43" i="1"/>
  <c r="H43" i="1"/>
  <c r="I43" i="1"/>
  <c r="J43" i="1"/>
  <c r="K43" i="1"/>
  <c r="L43" i="1"/>
  <c r="F43" i="1"/>
  <c r="L32" i="1"/>
  <c r="G31" i="1"/>
  <c r="F32" i="1" s="1"/>
  <c r="H31" i="1"/>
  <c r="G32" i="1" s="1"/>
  <c r="H34" i="1" s="1"/>
  <c r="I31" i="1"/>
  <c r="H32" i="1" s="1"/>
  <c r="I34" i="1" s="1"/>
  <c r="K31" i="1"/>
  <c r="I32" i="1" s="1"/>
  <c r="L31" i="1"/>
  <c r="K32" i="1" s="1"/>
  <c r="L34" i="1" s="1"/>
  <c r="F31" i="1"/>
  <c r="L25" i="1"/>
  <c r="K25" i="1"/>
  <c r="H13" i="1"/>
  <c r="E13" i="1"/>
  <c r="F255" i="1" l="1"/>
  <c r="H141" i="1"/>
  <c r="I141" i="1"/>
  <c r="F33" i="1"/>
  <c r="F35" i="1" s="1"/>
  <c r="J149" i="1"/>
  <c r="I150" i="1" s="1"/>
  <c r="G197" i="1"/>
  <c r="F141" i="1"/>
  <c r="F219" i="1"/>
  <c r="F220" i="1" s="1"/>
  <c r="J25" i="1"/>
  <c r="G174" i="1" s="1"/>
  <c r="G34" i="1"/>
  <c r="I116" i="1"/>
  <c r="J93" i="1"/>
  <c r="G183" i="1" s="1"/>
  <c r="I138" i="1"/>
  <c r="H116" i="1"/>
  <c r="H107" i="1"/>
  <c r="H138" i="1" s="1"/>
  <c r="G116" i="1"/>
  <c r="G106" i="1"/>
  <c r="F105" i="1"/>
  <c r="F138" i="1" s="1"/>
  <c r="I110" i="1"/>
  <c r="F228" i="1" s="1"/>
  <c r="L33" i="1"/>
  <c r="L35" i="1" s="1"/>
  <c r="L42" i="1" s="1"/>
  <c r="L44" i="1" s="1"/>
  <c r="L46" i="1" s="1"/>
  <c r="G105" i="1"/>
  <c r="G33" i="1"/>
  <c r="K33" i="1"/>
  <c r="F42" i="1"/>
  <c r="F44" i="1" s="1"/>
  <c r="H33" i="1"/>
  <c r="K34" i="1"/>
  <c r="J31" i="1"/>
  <c r="F143" i="1" l="1"/>
  <c r="F150" i="1"/>
  <c r="J150" i="1" s="1"/>
  <c r="G194" i="1" s="1"/>
  <c r="G150" i="1"/>
  <c r="H150" i="1"/>
  <c r="F79" i="1"/>
  <c r="F68" i="1"/>
  <c r="G35" i="1"/>
  <c r="G138" i="1"/>
  <c r="J141" i="1"/>
  <c r="J116" i="1"/>
  <c r="G185" i="1" s="1"/>
  <c r="G42" i="1"/>
  <c r="G44" i="1" s="1"/>
  <c r="K45" i="1"/>
  <c r="L47" i="1" s="1"/>
  <c r="L48" i="1" s="1"/>
  <c r="L50" i="1" s="1"/>
  <c r="K35" i="1"/>
  <c r="K42" i="1" s="1"/>
  <c r="K44" i="1" s="1"/>
  <c r="I45" i="1" s="1"/>
  <c r="F225" i="1" s="1"/>
  <c r="I33" i="1"/>
  <c r="I35" i="1" s="1"/>
  <c r="F57" i="1"/>
  <c r="F59" i="1" s="1"/>
  <c r="F70" i="1" s="1"/>
  <c r="H35" i="1"/>
  <c r="G57" i="1" l="1"/>
  <c r="G59" i="1" s="1"/>
  <c r="F45" i="1"/>
  <c r="F46" i="1" s="1"/>
  <c r="G68" i="1"/>
  <c r="J143" i="1"/>
  <c r="G191" i="1"/>
  <c r="F61" i="1"/>
  <c r="F62" i="1" s="1"/>
  <c r="F84" i="1"/>
  <c r="J33" i="1"/>
  <c r="I42" i="1"/>
  <c r="I44" i="1" s="1"/>
  <c r="I68" i="1" s="1"/>
  <c r="G61" i="1"/>
  <c r="G62" i="1" s="1"/>
  <c r="G151" i="1" s="1"/>
  <c r="G70" i="1"/>
  <c r="G84" i="1" s="1"/>
  <c r="K46" i="1"/>
  <c r="G79" i="1"/>
  <c r="K47" i="1"/>
  <c r="J47" i="1"/>
  <c r="H42" i="1"/>
  <c r="J35" i="1"/>
  <c r="J42" i="1" s="1"/>
  <c r="F80" i="1" l="1"/>
  <c r="F151" i="1"/>
  <c r="I57" i="1"/>
  <c r="I59" i="1" s="1"/>
  <c r="G47" i="1"/>
  <c r="F82" i="1"/>
  <c r="G80" i="1"/>
  <c r="K48" i="1"/>
  <c r="K50" i="1" s="1"/>
  <c r="J57" i="1"/>
  <c r="J59" i="1" s="1"/>
  <c r="J44" i="1"/>
  <c r="J46" i="1" s="1"/>
  <c r="H57" i="1"/>
  <c r="H59" i="1" s="1"/>
  <c r="H44" i="1"/>
  <c r="I79" i="1"/>
  <c r="H45" i="1"/>
  <c r="I47" i="1" s="1"/>
  <c r="I46" i="1"/>
  <c r="G45" i="1" l="1"/>
  <c r="H68" i="1"/>
  <c r="I70" i="1"/>
  <c r="I84" i="1" s="1"/>
  <c r="I61" i="1"/>
  <c r="I62" i="1" s="1"/>
  <c r="F71" i="1"/>
  <c r="F48" i="1"/>
  <c r="F50" i="1" s="1"/>
  <c r="J48" i="1"/>
  <c r="H46" i="1"/>
  <c r="H79" i="1"/>
  <c r="I48" i="1"/>
  <c r="I50" i="1" s="1"/>
  <c r="H61" i="1"/>
  <c r="H62" i="1" s="1"/>
  <c r="H151" i="1" s="1"/>
  <c r="H70" i="1"/>
  <c r="H84" i="1" s="1"/>
  <c r="J70" i="1"/>
  <c r="J84" i="1" s="1"/>
  <c r="J61" i="1"/>
  <c r="J62" i="1" s="1"/>
  <c r="J151" i="1" s="1"/>
  <c r="F85" i="1"/>
  <c r="I151" i="1" l="1"/>
  <c r="I80" i="1"/>
  <c r="I130" i="1"/>
  <c r="H224" i="1" s="1"/>
  <c r="I128" i="1"/>
  <c r="F73" i="1"/>
  <c r="F152" i="1" s="1"/>
  <c r="F125" i="1"/>
  <c r="F145" i="1" s="1"/>
  <c r="G125" i="1"/>
  <c r="J80" i="1"/>
  <c r="H80" i="1"/>
  <c r="J79" i="1"/>
  <c r="I82" i="1"/>
  <c r="I71" i="1"/>
  <c r="I73" i="1" s="1"/>
  <c r="I152" i="1" s="1"/>
  <c r="H47" i="1"/>
  <c r="H48" i="1" s="1"/>
  <c r="H50" i="1" s="1"/>
  <c r="G46" i="1"/>
  <c r="H127" i="1" l="1"/>
  <c r="I127" i="1"/>
  <c r="I145" i="1" s="1"/>
  <c r="I85" i="1"/>
  <c r="J68" i="1"/>
  <c r="G48" i="1"/>
  <c r="G50" i="1" s="1"/>
  <c r="H71" i="1"/>
  <c r="H73" i="1" s="1"/>
  <c r="H152" i="1" s="1"/>
  <c r="H82" i="1"/>
  <c r="H126" i="1" l="1"/>
  <c r="H145" i="1" s="1"/>
  <c r="G126" i="1"/>
  <c r="G145" i="1" s="1"/>
  <c r="J50" i="1"/>
  <c r="J71" i="1"/>
  <c r="J73" i="1" s="1"/>
  <c r="J152" i="1" s="1"/>
  <c r="J82" i="1"/>
  <c r="J85" i="1" s="1"/>
  <c r="H85" i="1"/>
  <c r="G82" i="1"/>
  <c r="G71" i="1"/>
  <c r="G73" i="1" s="1"/>
  <c r="G152" i="1" s="1"/>
  <c r="J86" i="1" l="1"/>
  <c r="G88" i="1"/>
  <c r="F92" i="1"/>
  <c r="F224" i="1"/>
  <c r="G177" i="1"/>
  <c r="G179" i="1" s="1"/>
  <c r="Q21" i="1"/>
  <c r="Q16" i="1" s="1"/>
  <c r="J92" i="1"/>
  <c r="G184" i="1" s="1"/>
  <c r="I92" i="1"/>
  <c r="I94" i="1" s="1"/>
  <c r="I96" i="1" s="1"/>
  <c r="I153" i="1" s="1"/>
  <c r="I156" i="1" s="1"/>
  <c r="G85" i="1"/>
  <c r="G186" i="1" l="1"/>
  <c r="G199" i="1" s="1"/>
  <c r="F94" i="1"/>
  <c r="F96" i="1" s="1"/>
  <c r="G92" i="1"/>
  <c r="G94" i="1" s="1"/>
  <c r="G96" i="1" s="1"/>
  <c r="G153" i="1" s="1"/>
  <c r="G156" i="1" s="1"/>
  <c r="H92" i="1"/>
  <c r="H94" i="1" s="1"/>
  <c r="H96" i="1" s="1"/>
  <c r="H153" i="1" s="1"/>
  <c r="H156" i="1" s="1"/>
  <c r="J94" i="1"/>
  <c r="J96" i="1" s="1"/>
  <c r="J153" i="1" s="1"/>
  <c r="J156" i="1" s="1"/>
  <c r="G202" i="1" l="1"/>
  <c r="F153" i="1"/>
  <c r="F156" i="1" s="1"/>
  <c r="F157" i="1" s="1"/>
  <c r="F162" i="1" s="1"/>
  <c r="G136" i="1" s="1"/>
  <c r="G143" i="1" s="1"/>
  <c r="G157" i="1" s="1"/>
  <c r="G204" i="1" l="1"/>
  <c r="G206" i="1" s="1"/>
  <c r="H216" i="1" s="1"/>
  <c r="H220" i="1" s="1"/>
  <c r="H227" i="1"/>
  <c r="H236" i="1" s="1"/>
  <c r="G162" i="1"/>
  <c r="H136" i="1" s="1"/>
  <c r="H143" i="1" s="1"/>
  <c r="H157" i="1" s="1"/>
  <c r="H162" i="1" s="1"/>
  <c r="I136" i="1" s="1"/>
  <c r="I143" i="1" s="1"/>
  <c r="I157" i="1" s="1"/>
  <c r="I162" i="1" s="1"/>
  <c r="F234" i="1" s="1"/>
  <c r="F236" i="1" s="1"/>
  <c r="F237" i="1" s="1"/>
  <c r="H237" i="1" l="1"/>
</calcChain>
</file>

<file path=xl/sharedStrings.xml><?xml version="1.0" encoding="utf-8"?>
<sst xmlns="http://schemas.openxmlformats.org/spreadsheetml/2006/main" count="405" uniqueCount="254">
  <si>
    <t>Variant</t>
  </si>
  <si>
    <t xml:space="preserve">Current income tax liabilities, hrn. </t>
  </si>
  <si>
    <t>Simple shares, грн.</t>
  </si>
  <si>
    <t xml:space="preserve">Accounts receivable, hrn. </t>
  </si>
  <si>
    <t>Raw materials inventories, hrn.</t>
  </si>
  <si>
    <t>Cash and cash equivalents, hrn.</t>
  </si>
  <si>
    <t xml:space="preserve">Retained earnings, hrn. </t>
  </si>
  <si>
    <t xml:space="preserve">Short-term bank credit, hrn. </t>
  </si>
  <si>
    <t>Finished products, hrn.</t>
  </si>
  <si>
    <t>Buildings (original value), hrn.</t>
  </si>
  <si>
    <t>Accounts payable, hrn.</t>
  </si>
  <si>
    <t xml:space="preserve">Accumulated depreciation, hrn. </t>
  </si>
  <si>
    <t>Equipment (original value), hrn.</t>
  </si>
  <si>
    <t>Payment of accounts receivable: % of sales in the current quarter</t>
  </si>
  <si>
    <t>% of sales in the previous quarter</t>
  </si>
  <si>
    <t>Finished products inventories at the end of the period, %</t>
  </si>
  <si>
    <t xml:space="preserve">Raw materials inventories at the end of the period, % </t>
  </si>
  <si>
    <t xml:space="preserve">Payment for raw materials: % of purchases in the quarter </t>
  </si>
  <si>
    <t>% in the next quarter</t>
  </si>
  <si>
    <t>Price of the raw materials unit, hrn.</t>
  </si>
  <si>
    <t>Office rent for a year, hrn.</t>
  </si>
  <si>
    <t>Raw material requirements per unit of finished goods, kg</t>
  </si>
  <si>
    <t>Entertainment expenses for a quarter, hrn.</t>
  </si>
  <si>
    <t>Direct labour costs per unit of finished goods, hours</t>
  </si>
  <si>
    <t>The cost per hour of direct labor costs, hrn.</t>
  </si>
  <si>
    <t>Depreciation of equipment in the quarter, hrn.</t>
  </si>
  <si>
    <t>Depreciation of administrative tangible assets in the quarter, hrn.</t>
  </si>
  <si>
    <t>General production costs, % in the quarter</t>
  </si>
  <si>
    <t>Quarterly % of sales expenses</t>
  </si>
  <si>
    <t xml:space="preserve">% of the spoilage costs </t>
  </si>
  <si>
    <t>The minimum cash balance at the end of the quarter, hrn.</t>
  </si>
  <si>
    <t>Salary fund of the administrative staff for the quarter, hrn.</t>
  </si>
  <si>
    <t xml:space="preserve">Heating, lighting of the administrative offices for the year, hrn. </t>
  </si>
  <si>
    <t xml:space="preserve">Share of short-term financial investments,% </t>
  </si>
  <si>
    <t>Annual % of the loan</t>
  </si>
  <si>
    <t xml:space="preserve">Purchase of equipment in the IV quarter, hrn. </t>
  </si>
  <si>
    <t xml:space="preserve">Income tax, % </t>
  </si>
  <si>
    <t xml:space="preserve">Sale price, hrn. </t>
  </si>
  <si>
    <t>Sale of finished products, units: 1 quarter</t>
  </si>
  <si>
    <t>2 quarter</t>
  </si>
  <si>
    <t>3 quarter</t>
  </si>
  <si>
    <t>4 quarter</t>
  </si>
  <si>
    <t>Cost of finished products unit in the past year, hrn.</t>
  </si>
  <si>
    <t>Assets</t>
  </si>
  <si>
    <t>At the beginning of the reporting period</t>
  </si>
  <si>
    <t>At the end of the reporting period</t>
  </si>
  <si>
    <t>Liabilities</t>
  </si>
  <si>
    <t>Equity</t>
  </si>
  <si>
    <t>Asset</t>
  </si>
  <si>
    <t xml:space="preserve"> Asset -</t>
  </si>
  <si>
    <t>Equity + Liabilities</t>
  </si>
  <si>
    <t>Fixed Assets</t>
  </si>
  <si>
    <t>Current assets</t>
  </si>
  <si>
    <t>Total</t>
  </si>
  <si>
    <t xml:space="preserve">Sales budget </t>
  </si>
  <si>
    <t xml:space="preserve">Indicator </t>
  </si>
  <si>
    <t>Quarters</t>
  </si>
  <si>
    <t>Annual sale</t>
  </si>
  <si>
    <t>І</t>
  </si>
  <si>
    <t>ІІ</t>
  </si>
  <si>
    <t>ІІІ</t>
  </si>
  <si>
    <t>ІV</t>
  </si>
  <si>
    <t>1. Sale of finished products, units</t>
  </si>
  <si>
    <t>2. Sale price, CZK.</t>
  </si>
  <si>
    <t xml:space="preserve">3. Revenue </t>
  </si>
  <si>
    <t>(row 1 * row 2), CZK.</t>
  </si>
  <si>
    <t>Production budget</t>
  </si>
  <si>
    <t>Indicator</t>
  </si>
  <si>
    <t>For the year</t>
  </si>
  <si>
    <t>2. Finished products inventories at the end of the period, units</t>
  </si>
  <si>
    <t>3. Total need for the finished products, units (row  1+ row 2)</t>
  </si>
  <si>
    <t xml:space="preserve">4. Finished products inventories at the beginning of the period, units </t>
  </si>
  <si>
    <t>5. The required output of finished products, units (row 3 – row 4)</t>
  </si>
  <si>
    <t xml:space="preserve">Budget of the direct costs for materials </t>
  </si>
  <si>
    <t>1. The required output of finished products, units</t>
  </si>
  <si>
    <t>2. Raw material requirements per unit of finished goods, kg</t>
  </si>
  <si>
    <t>3. Need for materials for the finished goods production, kg (row 1* row 2)</t>
  </si>
  <si>
    <t xml:space="preserve">4. Raw materials inventories at the end of the period, kg </t>
  </si>
  <si>
    <t>5. Total need for materials for the finished goods production, kg (row 3 + row 4)</t>
  </si>
  <si>
    <t xml:space="preserve">6. Raw materials inventories at the beginning of the period, kg </t>
  </si>
  <si>
    <t>7. Volume of the necessary raw materials purchase in the period, kg (row 5 – row 6)</t>
  </si>
  <si>
    <t xml:space="preserve">8. Price of the raw materials unit, CZK. </t>
  </si>
  <si>
    <t>9. Costs of the raw materials purchase, CZK. (row 7*row 8)</t>
  </si>
  <si>
    <t xml:space="preserve">Budget of the direct labour costs </t>
  </si>
  <si>
    <t xml:space="preserve">2. Direct labour costs per unit of finished goods, hours </t>
  </si>
  <si>
    <t xml:space="preserve">3. Total number of hours required for the finished products output, hours (row 1*row 2) </t>
  </si>
  <si>
    <t>4. The cost per hour of direct labour costs, CZK.</t>
  </si>
  <si>
    <t>5. Single social contribution (37%), CZK.</t>
  </si>
  <si>
    <t>6. Total direct labour costs, CZK. (row 3* row 4+ row 5)</t>
  </si>
  <si>
    <t>Budget of the other direct costs and general production costs</t>
  </si>
  <si>
    <t>1. Other direct costs:</t>
  </si>
  <si>
    <t>1.1. Spoilage costs</t>
  </si>
  <si>
    <t>1.2. Depreciation of equipment</t>
  </si>
  <si>
    <t>2. General production costs</t>
  </si>
  <si>
    <t>3. Total (row 1+ row 2)</t>
  </si>
  <si>
    <t>4. Depreciation of equipment</t>
  </si>
  <si>
    <t>5. Cash outflow for the other direct and general production costs (row 3- row 4)</t>
  </si>
  <si>
    <t>Total production costs (cost of finished products)</t>
  </si>
  <si>
    <t>1. Total direct costs for materials</t>
  </si>
  <si>
    <t>2. Total direct labour costs</t>
  </si>
  <si>
    <t>3. Other direct costs:</t>
  </si>
  <si>
    <t>3.1. Spoilage costs</t>
  </si>
  <si>
    <t>3.2. Depreciation of equipment</t>
  </si>
  <si>
    <t>4. General production costs</t>
  </si>
  <si>
    <t>5. Cost of finished products (row 1+ row 2+ row 3.1+ row 3.2+ row 4)</t>
  </si>
  <si>
    <t>-</t>
  </si>
  <si>
    <t>COST OF FINISHED PRODUCTS PER UNIT</t>
  </si>
  <si>
    <t xml:space="preserve">Budget of the administrative and sales expenses </t>
  </si>
  <si>
    <t>1. Sales expenses</t>
  </si>
  <si>
    <t>2. Administrative expenses</t>
  </si>
  <si>
    <t>4. Depreciation of administrative tangible assets</t>
  </si>
  <si>
    <t xml:space="preserve">5. Cash outflow for administrative and sales expenses  (row 3- row 4) </t>
  </si>
  <si>
    <t xml:space="preserve">Budget of cash inflow from sale of finished products </t>
  </si>
  <si>
    <t xml:space="preserve">1. Repayment of accounts receivable for the 20X1year  </t>
  </si>
  <si>
    <t>2. Quarterly payments of finished products sales</t>
  </si>
  <si>
    <t xml:space="preserve">in 20Х2 year  </t>
  </si>
  <si>
    <t>І quarter</t>
  </si>
  <si>
    <t>ІІ quarter</t>
  </si>
  <si>
    <t>ІІІ quarter</t>
  </si>
  <si>
    <t>ІV quarter</t>
  </si>
  <si>
    <t>3. The total amount of cash inflows (row 1+ row 2)</t>
  </si>
  <si>
    <t>4. Accounts receivable at 31.12.20Х2.</t>
  </si>
  <si>
    <t xml:space="preserve">Doubtful debts  </t>
  </si>
  <si>
    <t>Budget of cash outflow for the raw materials purchase</t>
  </si>
  <si>
    <t xml:space="preserve">1. Repayment of accounts payable for the 20Х1 year </t>
  </si>
  <si>
    <t xml:space="preserve">2. Quarterly payments for the raw materials </t>
  </si>
  <si>
    <t>in 20Х2 year:</t>
  </si>
  <si>
    <t>3. The total amount of cash outflows (row 1+row 2)</t>
  </si>
  <si>
    <t>4. Accounts payable at 31.12.20Х2.</t>
  </si>
  <si>
    <t xml:space="preserve">Cash plan </t>
  </si>
  <si>
    <t>1. Cash at the beginning of the period</t>
  </si>
  <si>
    <t xml:space="preserve">2. Cash inflows: </t>
  </si>
  <si>
    <t>2.1. Payment of finished products</t>
  </si>
  <si>
    <t xml:space="preserve">2.2. Repayment of accounts receivable for the 20X1year  </t>
  </si>
  <si>
    <t xml:space="preserve">2.3. Other cash inflows </t>
  </si>
  <si>
    <t>3. Total cash (row 1+ row 2)</t>
  </si>
  <si>
    <t xml:space="preserve">4. Cash outflows: </t>
  </si>
  <si>
    <t>4.1. Payment of raw materials</t>
  </si>
  <si>
    <t>4.2. Repayment of accounts payable for the 20Х1 year</t>
  </si>
  <si>
    <t xml:space="preserve">4.3. Repayment of other current liabilities </t>
  </si>
  <si>
    <t xml:space="preserve">4.4. Payment of direct labor costs </t>
  </si>
  <si>
    <t>4.5. Cash outflow for the other direct and general production costs</t>
  </si>
  <si>
    <t xml:space="preserve">4.6. Cash outflow for administrative and sales expenses  </t>
  </si>
  <si>
    <t>4.7. Purchase of equipment</t>
  </si>
  <si>
    <t>5. Total cash outflows (Σ row 4.1 – 4.8)</t>
  </si>
  <si>
    <t>6. Excess (deficit) of cash (row 3- row 5)</t>
  </si>
  <si>
    <t>7. Financing:</t>
  </si>
  <si>
    <t>7.1. Getting credit</t>
  </si>
  <si>
    <t>7.2. Repayment of credit</t>
  </si>
  <si>
    <t xml:space="preserve">7.3. Repayment of the credit’s interest </t>
  </si>
  <si>
    <t>8. Cash at the end of the period (row 6 + row 7.1 – row 7.2 – row 7.3)</t>
  </si>
  <si>
    <t>9. The minimum cash balance at the end of the quarter</t>
  </si>
  <si>
    <t xml:space="preserve">Company buys financial investments in the amount of 12% from current assets, in first quarter, this financial investments bring you annually 5%, in third quarter company sold 40% of financial investments, earning 10% of profit. Financial investments bring you 5% annually. </t>
  </si>
  <si>
    <t>4.8. Other cash outflow (Purchase of financial investments)</t>
  </si>
  <si>
    <t>2.3.1 income from resell of FI</t>
  </si>
  <si>
    <t>2.3.1 Interest rate from FI</t>
  </si>
  <si>
    <t xml:space="preserve"> </t>
  </si>
  <si>
    <t>4.3.1 Paying income tax from previous years</t>
  </si>
  <si>
    <t>4.3.2 Paying bank credit from previous years</t>
  </si>
  <si>
    <t>4.3.3 paying interest rate</t>
  </si>
  <si>
    <t>Cost of production sold</t>
  </si>
  <si>
    <t>COST OF FINISHED PRODUCTS PER UNIT (This year)</t>
  </si>
  <si>
    <t>Cost of finished products unit (Past year).</t>
  </si>
  <si>
    <t>Finished products (Past year)</t>
  </si>
  <si>
    <t>Sales units this year</t>
  </si>
  <si>
    <t>The income statement (The statement of comprehensive income)</t>
  </si>
  <si>
    <t>for __________________ 20__ .</t>
  </si>
  <si>
    <t>Form № 2</t>
  </si>
  <si>
    <t>І. Financial results</t>
  </si>
  <si>
    <t xml:space="preserve">Position </t>
  </si>
  <si>
    <t xml:space="preserve">Code </t>
  </si>
  <si>
    <t>For the reporting period</t>
  </si>
  <si>
    <t>For the previous year</t>
  </si>
  <si>
    <t>Net revenue from sales of production (goods, works, services)</t>
  </si>
  <si>
    <t>Cost of production (goods, works, services) sold=</t>
  </si>
  <si>
    <t>( )</t>
  </si>
  <si>
    <t>Gross:</t>
  </si>
  <si>
    <t>profit</t>
  </si>
  <si>
    <t>loss</t>
  </si>
  <si>
    <t>Other operating income</t>
  </si>
  <si>
    <t>Administrative expenses</t>
  </si>
  <si>
    <t>Sales expenses</t>
  </si>
  <si>
    <t>Other operating expenses (doubtful debts)</t>
  </si>
  <si>
    <r>
      <t>The financial result from the operational activity:</t>
    </r>
    <r>
      <rPr>
        <sz val="12"/>
        <color theme="1"/>
        <rFont val="Times New Roman"/>
        <family val="1"/>
      </rPr>
      <t> </t>
    </r>
  </si>
  <si>
    <t>Income from investments in other enterprises equity</t>
  </si>
  <si>
    <t>Other financial income (Interest rate from financial investment)</t>
  </si>
  <si>
    <t>Other income (Income from resell of financial investment)</t>
  </si>
  <si>
    <t>Financial costs (interest rate of bank credit)</t>
  </si>
  <si>
    <t>Loss from investments in other enterprises equity</t>
  </si>
  <si>
    <t xml:space="preserve">Other costs (the cost of financial investment sold) </t>
  </si>
  <si>
    <t>1884.48*0.4=</t>
  </si>
  <si>
    <r>
      <t>The financial result before taxation</t>
    </r>
    <r>
      <rPr>
        <b/>
        <sz val="12"/>
        <color rgb="FF000000"/>
        <rFont val="Times New Roman"/>
        <family val="1"/>
      </rPr>
      <t>:</t>
    </r>
    <r>
      <rPr>
        <sz val="12"/>
        <color theme="1"/>
        <rFont val="Times New Roman"/>
        <family val="1"/>
      </rPr>
      <t> </t>
    </r>
  </si>
  <si>
    <t>Expenses (income) from income tax 25%</t>
  </si>
  <si>
    <t>Income (loss) from discontinued operations after taxation</t>
  </si>
  <si>
    <t>Net financial result:</t>
  </si>
  <si>
    <t>After dividends, reserves, registered capital.. Retained earnings=</t>
  </si>
  <si>
    <t>At the end of the period</t>
  </si>
  <si>
    <t>Liabilities and equity</t>
  </si>
  <si>
    <t>І. Tangible assets:</t>
  </si>
  <si>
    <r>
      <t xml:space="preserve">І. </t>
    </r>
    <r>
      <rPr>
        <b/>
        <sz val="12"/>
        <color theme="1"/>
        <rFont val="Times New Roman"/>
        <family val="1"/>
      </rPr>
      <t>Equity</t>
    </r>
    <r>
      <rPr>
        <sz val="12"/>
        <color theme="1"/>
        <rFont val="Times New Roman"/>
        <family val="1"/>
      </rPr>
      <t>:</t>
    </r>
  </si>
  <si>
    <t xml:space="preserve">Buildings </t>
  </si>
  <si>
    <t>Simple shares</t>
  </si>
  <si>
    <t xml:space="preserve">Equipment </t>
  </si>
  <si>
    <t>Data + Purchase of equipment</t>
  </si>
  <si>
    <t>Retained earnings</t>
  </si>
  <si>
    <t xml:space="preserve">Data + </t>
  </si>
  <si>
    <r>
      <t>Net</t>
    </r>
    <r>
      <rPr>
        <b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 xml:space="preserve">profit </t>
    </r>
    <r>
      <rPr>
        <sz val="12"/>
        <color theme="1"/>
        <rFont val="Times New Roman"/>
        <family val="1"/>
      </rPr>
      <t xml:space="preserve">for the period  </t>
    </r>
  </si>
  <si>
    <t xml:space="preserve">Depreciation </t>
  </si>
  <si>
    <t xml:space="preserve">Data + Depreciation accumulated for the period  </t>
  </si>
  <si>
    <t>(8900 + 3148 +2100)=</t>
  </si>
  <si>
    <t>Total tangible assets І</t>
  </si>
  <si>
    <r>
      <t>Total equity</t>
    </r>
    <r>
      <rPr>
        <b/>
        <sz val="12"/>
        <color rgb="FF000000"/>
        <rFont val="Times New Roman"/>
        <family val="1"/>
      </rPr>
      <t xml:space="preserve"> I</t>
    </r>
  </si>
  <si>
    <r>
      <t xml:space="preserve">ІІ. </t>
    </r>
    <r>
      <rPr>
        <b/>
        <sz val="12"/>
        <color theme="1"/>
        <rFont val="Times New Roman"/>
        <family val="1"/>
      </rPr>
      <t>Current assets</t>
    </r>
    <r>
      <rPr>
        <sz val="12"/>
        <color theme="1"/>
        <rFont val="Times New Roman"/>
        <family val="1"/>
      </rPr>
      <t>:</t>
    </r>
  </si>
  <si>
    <r>
      <t xml:space="preserve">ІІ. </t>
    </r>
    <r>
      <rPr>
        <b/>
        <sz val="12"/>
        <color theme="1"/>
        <rFont val="Times New Roman"/>
        <family val="1"/>
      </rPr>
      <t>Current liabilities</t>
    </r>
    <r>
      <rPr>
        <sz val="12"/>
        <color theme="1"/>
        <rFont val="Times New Roman"/>
        <family val="1"/>
      </rPr>
      <t xml:space="preserve">: </t>
    </r>
  </si>
  <si>
    <t>Finished products</t>
  </si>
  <si>
    <t xml:space="preserve">Finished products inventories at the end of the period * </t>
  </si>
  <si>
    <t xml:space="preserve">Cost of finished products unit </t>
  </si>
  <si>
    <t>Accounts payable</t>
  </si>
  <si>
    <t>Accounts payable at 31.12.20Х2.</t>
  </si>
  <si>
    <t xml:space="preserve">Raw materials </t>
  </si>
  <si>
    <r>
      <t>541.13*4=</t>
    </r>
    <r>
      <rPr>
        <sz val="12"/>
        <color rgb="FFFF0000"/>
        <rFont val="Times New Roman"/>
        <family val="1"/>
      </rPr>
      <t>2164.52</t>
    </r>
  </si>
  <si>
    <t>Accounts payable by the budget</t>
  </si>
  <si>
    <t xml:space="preserve"> Tax profit for the period  </t>
  </si>
  <si>
    <t>Accounts receivable 19008,00</t>
  </si>
  <si>
    <t>Short-term bank credit</t>
  </si>
  <si>
    <t xml:space="preserve">Data + Getting credit – Repayment of credits </t>
  </si>
  <si>
    <t>Short-term financial investments</t>
  </si>
  <si>
    <t xml:space="preserve">Purchase – sale </t>
  </si>
  <si>
    <t>Cash and cash equivalents</t>
  </si>
  <si>
    <r>
      <t>Total current assets</t>
    </r>
    <r>
      <rPr>
        <sz val="12"/>
        <color theme="1"/>
        <rFont val="Times New Roman"/>
        <family val="1"/>
      </rPr>
      <t xml:space="preserve"> ІІ</t>
    </r>
  </si>
  <si>
    <t>Total current liabilities ІІ</t>
  </si>
  <si>
    <t>Balance sheet</t>
  </si>
  <si>
    <t>Table 18</t>
  </si>
  <si>
    <t>Planned income statement</t>
  </si>
  <si>
    <t>Amount, CZK.</t>
  </si>
  <si>
    <t xml:space="preserve">1. Revenue for the year </t>
  </si>
  <si>
    <t xml:space="preserve">2. Variable costs: </t>
  </si>
  <si>
    <t>2.1. Variable cost of sales</t>
  </si>
  <si>
    <t>Variable cost of production per unit * quantity  of finished products sale for the year</t>
  </si>
  <si>
    <t>2.2. Variable sales expenses</t>
  </si>
  <si>
    <t xml:space="preserve">2.3. Doubtful debts  </t>
  </si>
  <si>
    <t xml:space="preserve">3. Total variable costs </t>
  </si>
  <si>
    <t xml:space="preserve">4. Marginal income (row 1- row 3) </t>
  </si>
  <si>
    <t xml:space="preserve">5. Fixed costs: </t>
  </si>
  <si>
    <t>5.1. Other direct costs</t>
  </si>
  <si>
    <t>5.2. General production costs</t>
  </si>
  <si>
    <t>5.3. Administrative expenses</t>
  </si>
  <si>
    <t>6. Total fixed costs</t>
  </si>
  <si>
    <t>7. Net production profit (row 4 - row 6)</t>
  </si>
  <si>
    <t>BEP</t>
  </si>
  <si>
    <t>Price</t>
  </si>
  <si>
    <t>FC</t>
  </si>
  <si>
    <t>VC</t>
  </si>
  <si>
    <t>Units produced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</si>
</sst>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0_);\(0.00\)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38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rgb="FFFF0000"/>
      <name val="Times New Roman"/>
      <family val="1"/>
    </font>
    <font>
      <sz val="11"/>
      <color rgb="FFFF0000"/>
      <name val="Calibri"/>
      <family val="2"/>
      <charset val="238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trike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4" fontId="7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11" applyNumberFormat="0" applyAlignment="0" applyProtection="0"/>
  </cellStyleXfs>
  <cellXfs count="125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justify" wrapText="1"/>
    </xf>
    <xf numFmtId="0" fontId="3" fillId="0" borderId="1" xfId="0" applyFont="1" applyBorder="1" applyAlignment="1">
      <alignment horizontal="left" vertical="justify"/>
    </xf>
    <xf numFmtId="0" fontId="3" fillId="0" borderId="1" xfId="0" applyFont="1" applyBorder="1"/>
    <xf numFmtId="1" fontId="3" fillId="0" borderId="1" xfId="0" applyNumberFormat="1" applyFont="1" applyBorder="1"/>
    <xf numFmtId="2" fontId="3" fillId="0" borderId="1" xfId="0" applyNumberFormat="1" applyFont="1" applyBorder="1"/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/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5" fillId="0" borderId="7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164" fontId="5" fillId="0" borderId="7" xfId="0" applyNumberFormat="1" applyFont="1" applyBorder="1" applyAlignment="1">
      <alignment vertical="center" wrapText="1"/>
    </xf>
    <xf numFmtId="2" fontId="5" fillId="0" borderId="7" xfId="1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9" fillId="4" borderId="1" xfId="3" applyBorder="1"/>
    <xf numFmtId="2" fontId="10" fillId="5" borderId="11" xfId="4" applyNumberFormat="1" applyAlignment="1">
      <alignment horizontal="center" vertical="center" wrapText="1"/>
    </xf>
    <xf numFmtId="0" fontId="10" fillId="5" borderId="11" xfId="4"/>
    <xf numFmtId="0" fontId="8" fillId="3" borderId="1" xfId="2" applyBorder="1"/>
    <xf numFmtId="0" fontId="5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164" fontId="11" fillId="2" borderId="7" xfId="0" applyNumberFormat="1" applyFont="1" applyFill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0" fontId="12" fillId="0" borderId="12" xfId="0" applyFont="1" applyBorder="1"/>
    <xf numFmtId="0" fontId="12" fillId="0" borderId="13" xfId="0" applyFont="1" applyBorder="1"/>
    <xf numFmtId="0" fontId="12" fillId="0" borderId="0" xfId="0" applyFont="1"/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7" fillId="0" borderId="18" xfId="0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0" fillId="0" borderId="7" xfId="0" applyBorder="1" applyAlignment="1">
      <alignment vertical="top" wrapText="1"/>
    </xf>
    <xf numFmtId="0" fontId="16" fillId="0" borderId="22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2" fontId="18" fillId="0" borderId="22" xfId="0" applyNumberFormat="1" applyFont="1" applyBorder="1" applyAlignment="1">
      <alignment vertical="center" wrapText="1"/>
    </xf>
    <xf numFmtId="2" fontId="11" fillId="0" borderId="7" xfId="0" applyNumberFormat="1" applyFont="1" applyBorder="1" applyAlignment="1">
      <alignment vertical="center" wrapText="1"/>
    </xf>
    <xf numFmtId="2" fontId="5" fillId="0" borderId="7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2" fontId="5" fillId="0" borderId="3" xfId="0" applyNumberFormat="1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0" fontId="0" fillId="2" borderId="0" xfId="0" applyFill="1"/>
  </cellXfs>
  <cellStyles count="5">
    <cellStyle name="Bad" xfId="2" builtinId="27"/>
    <cellStyle name="Currency" xfId="1" builtinId="4"/>
    <cellStyle name="Input" xfId="4" builtinId="20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21EF0-2739-43D8-9C45-C3859848A311}">
  <dimension ref="A1:Q257"/>
  <sheetViews>
    <sheetView tabSelected="1" topLeftCell="D14" zoomScale="80" zoomScaleNormal="80" zoomScaleSheetLayoutView="20" workbookViewId="0">
      <selection activeCell="G255" sqref="G255"/>
    </sheetView>
  </sheetViews>
  <sheetFormatPr defaultRowHeight="14.4" x14ac:dyDescent="0.3"/>
  <cols>
    <col min="1" max="1" width="27.88671875" style="2" bestFit="1" customWidth="1"/>
    <col min="2" max="2" width="7.109375" style="2" bestFit="1" customWidth="1"/>
    <col min="3" max="3" width="20.88671875" customWidth="1"/>
    <col min="4" max="4" width="28.5546875" customWidth="1"/>
    <col min="5" max="5" width="40" customWidth="1"/>
    <col min="6" max="6" width="21.6640625" customWidth="1"/>
    <col min="7" max="7" width="22.5546875" customWidth="1"/>
    <col min="8" max="8" width="15.44140625" bestFit="1" customWidth="1"/>
    <col min="9" max="9" width="16.44140625" customWidth="1"/>
    <col min="10" max="10" width="16.5546875" bestFit="1" customWidth="1"/>
    <col min="16" max="16" width="36.5546875" bestFit="1" customWidth="1"/>
    <col min="17" max="17" width="13.6640625" bestFit="1" customWidth="1"/>
  </cols>
  <sheetData>
    <row r="1" spans="1:17" ht="16.2" thickBot="1" x14ac:dyDescent="0.35">
      <c r="A1" s="1" t="s">
        <v>0</v>
      </c>
      <c r="B1" s="1">
        <v>3</v>
      </c>
      <c r="C1" s="11"/>
      <c r="D1" s="11"/>
    </row>
    <row r="2" spans="1:17" ht="43.8" thickBot="1" x14ac:dyDescent="0.35">
      <c r="D2" t="s">
        <v>43</v>
      </c>
      <c r="E2" s="12" t="s">
        <v>44</v>
      </c>
      <c r="F2" s="11" t="s">
        <v>45</v>
      </c>
      <c r="G2" t="s">
        <v>50</v>
      </c>
      <c r="H2" s="12" t="s">
        <v>44</v>
      </c>
      <c r="I2" s="11" t="s">
        <v>45</v>
      </c>
    </row>
    <row r="3" spans="1:17" ht="31.2" x14ac:dyDescent="0.3">
      <c r="A3" s="9" t="s">
        <v>1</v>
      </c>
      <c r="B3" s="10">
        <v>3804</v>
      </c>
      <c r="C3" t="s">
        <v>46</v>
      </c>
      <c r="D3" t="s">
        <v>51</v>
      </c>
      <c r="G3" t="s">
        <v>47</v>
      </c>
    </row>
    <row r="4" spans="1:17" ht="31.2" x14ac:dyDescent="0.3">
      <c r="A4" s="9" t="s">
        <v>2</v>
      </c>
      <c r="B4" s="10">
        <v>25000</v>
      </c>
      <c r="C4" t="s">
        <v>47</v>
      </c>
      <c r="D4" s="9" t="s">
        <v>9</v>
      </c>
      <c r="E4" s="10">
        <v>12290</v>
      </c>
      <c r="G4" s="9" t="s">
        <v>2</v>
      </c>
      <c r="H4" s="10">
        <v>25000</v>
      </c>
    </row>
    <row r="5" spans="1:17" ht="31.2" x14ac:dyDescent="0.3">
      <c r="A5" s="9" t="s">
        <v>3</v>
      </c>
      <c r="B5" s="10">
        <v>11200</v>
      </c>
      <c r="C5" t="s">
        <v>48</v>
      </c>
      <c r="D5" s="9" t="s">
        <v>12</v>
      </c>
      <c r="E5" s="10">
        <v>31600</v>
      </c>
      <c r="G5" s="9" t="s">
        <v>6</v>
      </c>
      <c r="H5" s="10">
        <v>11900</v>
      </c>
    </row>
    <row r="6" spans="1:17" ht="31.2" x14ac:dyDescent="0.3">
      <c r="A6" s="9" t="s">
        <v>4</v>
      </c>
      <c r="B6" s="10">
        <v>500</v>
      </c>
      <c r="C6" t="s">
        <v>48</v>
      </c>
      <c r="D6" s="9" t="s">
        <v>11</v>
      </c>
      <c r="E6" s="10" t="str">
        <f>A17</f>
        <v>Finished products inventories at the end of the period, %</v>
      </c>
    </row>
    <row r="7" spans="1:17" ht="31.2" x14ac:dyDescent="0.3">
      <c r="A7" s="9" t="s">
        <v>5</v>
      </c>
      <c r="B7" s="10">
        <v>1820</v>
      </c>
      <c r="C7" t="s">
        <v>48</v>
      </c>
    </row>
    <row r="8" spans="1:17" ht="31.2" x14ac:dyDescent="0.3">
      <c r="A8" s="9" t="s">
        <v>6</v>
      </c>
      <c r="B8" s="10">
        <v>11900</v>
      </c>
      <c r="C8" t="s">
        <v>47</v>
      </c>
      <c r="D8" t="s">
        <v>52</v>
      </c>
      <c r="G8" s="9" t="s">
        <v>1</v>
      </c>
      <c r="H8" s="10">
        <v>3804</v>
      </c>
    </row>
    <row r="9" spans="1:17" ht="15.6" x14ac:dyDescent="0.3">
      <c r="A9" s="9" t="s">
        <v>7</v>
      </c>
      <c r="B9" s="10">
        <v>3690</v>
      </c>
      <c r="C9" t="s">
        <v>46</v>
      </c>
      <c r="D9" s="9" t="s">
        <v>8</v>
      </c>
      <c r="E9" s="10">
        <v>2184</v>
      </c>
      <c r="G9" s="9" t="s">
        <v>10</v>
      </c>
      <c r="H9" s="10">
        <v>6300</v>
      </c>
    </row>
    <row r="10" spans="1:17" ht="31.2" x14ac:dyDescent="0.3">
      <c r="A10" s="9" t="s">
        <v>8</v>
      </c>
      <c r="B10" s="10">
        <v>2184</v>
      </c>
      <c r="C10" t="s">
        <v>48</v>
      </c>
      <c r="D10" s="9" t="s">
        <v>4</v>
      </c>
      <c r="E10" s="10">
        <v>500</v>
      </c>
      <c r="G10" s="9" t="s">
        <v>7</v>
      </c>
      <c r="H10" s="10">
        <v>3690</v>
      </c>
    </row>
    <row r="11" spans="1:17" ht="31.2" x14ac:dyDescent="0.3">
      <c r="A11" s="9" t="s">
        <v>9</v>
      </c>
      <c r="B11" s="10">
        <v>12290</v>
      </c>
      <c r="C11" t="s">
        <v>48</v>
      </c>
      <c r="D11" s="9" t="s">
        <v>3</v>
      </c>
      <c r="E11" s="10">
        <v>11200</v>
      </c>
    </row>
    <row r="12" spans="1:17" ht="31.2" x14ac:dyDescent="0.3">
      <c r="A12" s="9" t="s">
        <v>10</v>
      </c>
      <c r="B12" s="10">
        <v>6300</v>
      </c>
      <c r="C12" t="s">
        <v>46</v>
      </c>
      <c r="D12" s="9" t="s">
        <v>5</v>
      </c>
      <c r="E12" s="10">
        <v>1820</v>
      </c>
    </row>
    <row r="13" spans="1:17" ht="31.2" x14ac:dyDescent="0.3">
      <c r="A13" s="9" t="s">
        <v>11</v>
      </c>
      <c r="B13" s="10">
        <v>8900</v>
      </c>
      <c r="C13" t="s">
        <v>49</v>
      </c>
      <c r="D13" s="13" t="s">
        <v>53</v>
      </c>
      <c r="E13">
        <f>SUM(E4:E12)</f>
        <v>59594</v>
      </c>
      <c r="G13" t="s">
        <v>53</v>
      </c>
      <c r="H13">
        <f>SUM(H4:H10)</f>
        <v>50694</v>
      </c>
    </row>
    <row r="14" spans="1:17" ht="31.2" x14ac:dyDescent="0.3">
      <c r="A14" s="9" t="s">
        <v>12</v>
      </c>
      <c r="B14" s="10">
        <v>31600</v>
      </c>
      <c r="C14" t="s">
        <v>48</v>
      </c>
    </row>
    <row r="15" spans="1:17" ht="46.8" x14ac:dyDescent="0.3">
      <c r="A15" s="4" t="s">
        <v>13</v>
      </c>
      <c r="B15" s="6">
        <v>65</v>
      </c>
    </row>
    <row r="16" spans="1:17" ht="31.2" x14ac:dyDescent="0.3">
      <c r="A16" s="4" t="s">
        <v>14</v>
      </c>
      <c r="B16" s="6">
        <v>33</v>
      </c>
      <c r="P16" s="36" t="s">
        <v>160</v>
      </c>
      <c r="Q16" s="36">
        <f>(Q20+(Q21*(Q22-(Q20/Q19))))</f>
        <v>133436.52166460379</v>
      </c>
    </row>
    <row r="17" spans="1:17" ht="31.2" x14ac:dyDescent="0.3">
      <c r="A17" s="3" t="s">
        <v>15</v>
      </c>
      <c r="B17" s="6">
        <v>15</v>
      </c>
    </row>
    <row r="18" spans="1:17" ht="31.2" x14ac:dyDescent="0.3">
      <c r="A18" s="3" t="s">
        <v>16</v>
      </c>
      <c r="B18" s="6">
        <v>15</v>
      </c>
    </row>
    <row r="19" spans="1:17" ht="31.2" x14ac:dyDescent="0.3">
      <c r="A19" s="4" t="s">
        <v>17</v>
      </c>
      <c r="B19" s="6">
        <v>65</v>
      </c>
      <c r="P19" s="5" t="s">
        <v>162</v>
      </c>
      <c r="Q19" s="8">
        <v>28.741954790096877</v>
      </c>
    </row>
    <row r="20" spans="1:17" ht="16.2" thickBot="1" x14ac:dyDescent="0.35">
      <c r="A20" s="4" t="s">
        <v>18</v>
      </c>
      <c r="B20" s="6">
        <v>35</v>
      </c>
      <c r="G20" s="14" t="s">
        <v>54</v>
      </c>
      <c r="P20" s="9" t="s">
        <v>163</v>
      </c>
      <c r="Q20" s="10">
        <v>2184</v>
      </c>
    </row>
    <row r="21" spans="1:17" ht="31.8" thickBot="1" x14ac:dyDescent="0.35">
      <c r="A21" s="3" t="s">
        <v>19</v>
      </c>
      <c r="B21" s="6">
        <v>4</v>
      </c>
      <c r="E21" s="115" t="s">
        <v>55</v>
      </c>
      <c r="F21" s="117" t="s">
        <v>56</v>
      </c>
      <c r="G21" s="118"/>
      <c r="H21" s="118"/>
      <c r="I21" s="119"/>
      <c r="J21" s="115" t="s">
        <v>57</v>
      </c>
      <c r="K21" s="117" t="s">
        <v>56</v>
      </c>
      <c r="L21" s="119"/>
      <c r="P21" s="12" t="s">
        <v>161</v>
      </c>
      <c r="Q21" s="32">
        <f>J85/J57</f>
        <v>28.726665201850999</v>
      </c>
    </row>
    <row r="22" spans="1:17" ht="16.2" thickBot="1" x14ac:dyDescent="0.35">
      <c r="A22" s="3" t="s">
        <v>20</v>
      </c>
      <c r="B22" s="6">
        <v>3828</v>
      </c>
      <c r="E22" s="116"/>
      <c r="F22" s="15" t="s">
        <v>58</v>
      </c>
      <c r="G22" s="15" t="s">
        <v>59</v>
      </c>
      <c r="H22" s="15" t="s">
        <v>60</v>
      </c>
      <c r="I22" s="15" t="s">
        <v>61</v>
      </c>
      <c r="J22" s="116"/>
      <c r="K22" s="15" t="s">
        <v>58</v>
      </c>
      <c r="L22" s="15" t="s">
        <v>59</v>
      </c>
      <c r="P22" t="s">
        <v>164</v>
      </c>
      <c r="Q22" s="15">
        <f>SUM(F23:I23)</f>
        <v>4645</v>
      </c>
    </row>
    <row r="23" spans="1:17" ht="31.8" thickBot="1" x14ac:dyDescent="0.35">
      <c r="A23" s="3" t="s">
        <v>21</v>
      </c>
      <c r="B23" s="6">
        <v>3</v>
      </c>
      <c r="E23" s="16" t="s">
        <v>62</v>
      </c>
      <c r="F23" s="15">
        <v>1175</v>
      </c>
      <c r="G23" s="15">
        <v>1120</v>
      </c>
      <c r="H23" s="15">
        <v>1150</v>
      </c>
      <c r="I23" s="15">
        <v>1200</v>
      </c>
      <c r="J23" s="15">
        <f>SUM(F23:I23)</f>
        <v>4645</v>
      </c>
      <c r="K23" s="15">
        <v>1210</v>
      </c>
      <c r="L23" s="15">
        <v>1160</v>
      </c>
    </row>
    <row r="24" spans="1:17" ht="31.8" thickBot="1" x14ac:dyDescent="0.35">
      <c r="A24" s="3" t="s">
        <v>22</v>
      </c>
      <c r="B24" s="6">
        <v>225</v>
      </c>
      <c r="E24" s="16" t="s">
        <v>63</v>
      </c>
      <c r="F24" s="6">
        <v>48</v>
      </c>
      <c r="G24" s="6">
        <v>48</v>
      </c>
      <c r="H24" s="6">
        <v>48</v>
      </c>
      <c r="I24" s="6">
        <v>48</v>
      </c>
      <c r="J24" s="6">
        <v>48</v>
      </c>
      <c r="K24" s="6">
        <v>48</v>
      </c>
      <c r="L24" s="6">
        <v>48</v>
      </c>
    </row>
    <row r="25" spans="1:17" ht="31.2" x14ac:dyDescent="0.3">
      <c r="A25" s="3" t="s">
        <v>23</v>
      </c>
      <c r="B25" s="6">
        <v>2</v>
      </c>
      <c r="E25" s="17" t="s">
        <v>64</v>
      </c>
      <c r="F25" s="115">
        <f>F23*F24</f>
        <v>56400</v>
      </c>
      <c r="G25" s="115">
        <f t="shared" ref="G25:I25" si="0">G23*G24</f>
        <v>53760</v>
      </c>
      <c r="H25" s="115">
        <f t="shared" si="0"/>
        <v>55200</v>
      </c>
      <c r="I25" s="115">
        <f t="shared" si="0"/>
        <v>57600</v>
      </c>
      <c r="J25" s="115">
        <f>SUM(F25:I26)</f>
        <v>222960</v>
      </c>
      <c r="K25" s="115">
        <f>K23*K24</f>
        <v>58080</v>
      </c>
      <c r="L25" s="115">
        <f>L23*L24</f>
        <v>55680</v>
      </c>
    </row>
    <row r="26" spans="1:17" ht="31.8" thickBot="1" x14ac:dyDescent="0.35">
      <c r="A26" s="3" t="s">
        <v>24</v>
      </c>
      <c r="B26" s="6">
        <v>4</v>
      </c>
      <c r="E26" s="16" t="s">
        <v>65</v>
      </c>
      <c r="F26" s="116"/>
      <c r="G26" s="116"/>
      <c r="H26" s="116"/>
      <c r="I26" s="116"/>
      <c r="J26" s="116"/>
      <c r="K26" s="116"/>
      <c r="L26" s="116"/>
    </row>
    <row r="27" spans="1:17" ht="31.2" x14ac:dyDescent="0.3">
      <c r="A27" s="3" t="s">
        <v>25</v>
      </c>
      <c r="B27" s="7">
        <v>787.27499999999998</v>
      </c>
    </row>
    <row r="28" spans="1:17" ht="47.4" thickBot="1" x14ac:dyDescent="0.35">
      <c r="A28" s="3" t="s">
        <v>26</v>
      </c>
      <c r="B28" s="7">
        <v>524.85</v>
      </c>
      <c r="G28" s="18" t="s">
        <v>66</v>
      </c>
    </row>
    <row r="29" spans="1:17" ht="31.8" thickBot="1" x14ac:dyDescent="0.35">
      <c r="A29" s="5" t="s">
        <v>27</v>
      </c>
      <c r="B29" s="6">
        <v>62</v>
      </c>
      <c r="E29" s="106" t="s">
        <v>67</v>
      </c>
      <c r="F29" s="108" t="s">
        <v>56</v>
      </c>
      <c r="G29" s="109"/>
      <c r="H29" s="109"/>
      <c r="I29" s="110"/>
      <c r="J29" s="106" t="s">
        <v>68</v>
      </c>
      <c r="K29" s="108" t="s">
        <v>56</v>
      </c>
      <c r="L29" s="110"/>
    </row>
    <row r="30" spans="1:17" ht="31.8" thickBot="1" x14ac:dyDescent="0.35">
      <c r="A30" s="3" t="s">
        <v>28</v>
      </c>
      <c r="B30" s="6">
        <v>1.4</v>
      </c>
      <c r="E30" s="107"/>
      <c r="F30" s="19" t="s">
        <v>58</v>
      </c>
      <c r="G30" s="19" t="s">
        <v>59</v>
      </c>
      <c r="H30" s="19" t="s">
        <v>60</v>
      </c>
      <c r="I30" s="19" t="s">
        <v>61</v>
      </c>
      <c r="J30" s="107"/>
      <c r="K30" s="20" t="s">
        <v>58</v>
      </c>
      <c r="L30" s="20" t="s">
        <v>59</v>
      </c>
    </row>
    <row r="31" spans="1:17" ht="16.2" thickBot="1" x14ac:dyDescent="0.35">
      <c r="A31" s="3" t="s">
        <v>29</v>
      </c>
      <c r="B31" s="6">
        <v>1.2</v>
      </c>
      <c r="E31" s="21" t="s">
        <v>62</v>
      </c>
      <c r="F31" s="23">
        <f>F23</f>
        <v>1175</v>
      </c>
      <c r="G31" s="23">
        <f t="shared" ref="G31:L31" si="1">G23</f>
        <v>1120</v>
      </c>
      <c r="H31" s="23">
        <f t="shared" si="1"/>
        <v>1150</v>
      </c>
      <c r="I31" s="23">
        <f t="shared" si="1"/>
        <v>1200</v>
      </c>
      <c r="J31" s="23">
        <f t="shared" si="1"/>
        <v>4645</v>
      </c>
      <c r="K31" s="23">
        <f t="shared" si="1"/>
        <v>1210</v>
      </c>
      <c r="L31" s="23">
        <f t="shared" si="1"/>
        <v>1160</v>
      </c>
    </row>
    <row r="32" spans="1:17" ht="31.8" thickBot="1" x14ac:dyDescent="0.35">
      <c r="A32" s="3" t="s">
        <v>30</v>
      </c>
      <c r="B32" s="35">
        <v>1500</v>
      </c>
      <c r="E32" s="21" t="s">
        <v>69</v>
      </c>
      <c r="F32" s="23">
        <f>$B$17/100*G31</f>
        <v>168</v>
      </c>
      <c r="G32" s="23">
        <f t="shared" ref="G32:L32" si="2">$B$17/100*H31</f>
        <v>172.5</v>
      </c>
      <c r="H32" s="23">
        <f t="shared" si="2"/>
        <v>180</v>
      </c>
      <c r="I32" s="23">
        <f>$B$17/100*K31</f>
        <v>181.5</v>
      </c>
      <c r="J32" s="23"/>
      <c r="K32" s="23">
        <f>$B$17/100*L31</f>
        <v>174</v>
      </c>
      <c r="L32" s="23">
        <f t="shared" si="2"/>
        <v>0</v>
      </c>
    </row>
    <row r="33" spans="1:12" ht="47.4" thickBot="1" x14ac:dyDescent="0.35">
      <c r="A33" s="3" t="s">
        <v>31</v>
      </c>
      <c r="B33" s="6">
        <v>4275</v>
      </c>
      <c r="E33" s="21" t="s">
        <v>70</v>
      </c>
      <c r="F33" s="23">
        <f>F31+F32</f>
        <v>1343</v>
      </c>
      <c r="G33" s="23">
        <f t="shared" ref="G33:L33" si="3">G31+G32</f>
        <v>1292.5</v>
      </c>
      <c r="H33" s="23">
        <f t="shared" si="3"/>
        <v>1330</v>
      </c>
      <c r="I33" s="23">
        <f t="shared" si="3"/>
        <v>1381.5</v>
      </c>
      <c r="J33" s="23">
        <f>SUM(F33:I33)</f>
        <v>5347</v>
      </c>
      <c r="K33" s="23">
        <f t="shared" si="3"/>
        <v>1384</v>
      </c>
      <c r="L33" s="23">
        <f t="shared" si="3"/>
        <v>1160</v>
      </c>
    </row>
    <row r="34" spans="1:12" ht="47.4" thickBot="1" x14ac:dyDescent="0.35">
      <c r="A34" s="3" t="s">
        <v>32</v>
      </c>
      <c r="B34" s="6">
        <v>2552</v>
      </c>
      <c r="E34" s="21" t="s">
        <v>71</v>
      </c>
      <c r="F34" s="24">
        <f>B10/B44</f>
        <v>75.986480945704628</v>
      </c>
      <c r="G34" s="23">
        <f>F32</f>
        <v>168</v>
      </c>
      <c r="H34" s="23">
        <f t="shared" ref="H34:L34" si="4">G32</f>
        <v>172.5</v>
      </c>
      <c r="I34" s="23">
        <f t="shared" si="4"/>
        <v>180</v>
      </c>
      <c r="J34" s="25"/>
      <c r="K34" s="23">
        <f>I32</f>
        <v>181.5</v>
      </c>
      <c r="L34" s="23">
        <f t="shared" si="4"/>
        <v>174</v>
      </c>
    </row>
    <row r="35" spans="1:12" ht="31.8" thickBot="1" x14ac:dyDescent="0.35">
      <c r="A35" s="3" t="s">
        <v>33</v>
      </c>
      <c r="B35" s="6">
        <v>12</v>
      </c>
      <c r="E35" s="21" t="s">
        <v>72</v>
      </c>
      <c r="F35" s="23">
        <f>F33-F34</f>
        <v>1267.0135190542953</v>
      </c>
      <c r="G35" s="23">
        <f t="shared" ref="G35:L35" si="5">G33-G34</f>
        <v>1124.5</v>
      </c>
      <c r="H35" s="23">
        <f t="shared" si="5"/>
        <v>1157.5</v>
      </c>
      <c r="I35" s="23">
        <f t="shared" si="5"/>
        <v>1201.5</v>
      </c>
      <c r="J35" s="23">
        <f>SUM(F35:I35)</f>
        <v>4750.5135190542951</v>
      </c>
      <c r="K35" s="23">
        <f t="shared" si="5"/>
        <v>1202.5</v>
      </c>
      <c r="L35" s="23">
        <f t="shared" si="5"/>
        <v>986</v>
      </c>
    </row>
    <row r="36" spans="1:12" ht="15.6" x14ac:dyDescent="0.3">
      <c r="A36" s="3" t="s">
        <v>34</v>
      </c>
      <c r="B36" s="33">
        <v>25</v>
      </c>
    </row>
    <row r="37" spans="1:12" ht="31.2" x14ac:dyDescent="0.3">
      <c r="A37" s="3" t="s">
        <v>35</v>
      </c>
      <c r="B37" s="6">
        <v>15000</v>
      </c>
    </row>
    <row r="38" spans="1:12" ht="15.6" x14ac:dyDescent="0.3">
      <c r="A38" s="3" t="s">
        <v>36</v>
      </c>
      <c r="B38" s="6">
        <v>25</v>
      </c>
      <c r="G38" s="18" t="s">
        <v>73</v>
      </c>
    </row>
    <row r="39" spans="1:12" ht="16.2" thickBot="1" x14ac:dyDescent="0.35">
      <c r="A39" s="3" t="s">
        <v>37</v>
      </c>
      <c r="B39" s="6">
        <v>48</v>
      </c>
    </row>
    <row r="40" spans="1:12" ht="31.8" thickBot="1" x14ac:dyDescent="0.35">
      <c r="A40" s="3" t="s">
        <v>38</v>
      </c>
      <c r="B40" s="6">
        <v>1175</v>
      </c>
      <c r="E40" s="106" t="s">
        <v>67</v>
      </c>
      <c r="F40" s="108" t="s">
        <v>56</v>
      </c>
      <c r="G40" s="109"/>
      <c r="H40" s="109"/>
      <c r="I40" s="110"/>
      <c r="J40" s="106" t="s">
        <v>68</v>
      </c>
      <c r="K40" s="108" t="s">
        <v>56</v>
      </c>
      <c r="L40" s="110"/>
    </row>
    <row r="41" spans="1:12" ht="16.2" thickBot="1" x14ac:dyDescent="0.35">
      <c r="A41" s="6" t="s">
        <v>39</v>
      </c>
      <c r="B41" s="6">
        <v>1120</v>
      </c>
      <c r="E41" s="107"/>
      <c r="F41" s="19" t="s">
        <v>58</v>
      </c>
      <c r="G41" s="19" t="s">
        <v>59</v>
      </c>
      <c r="H41" s="19" t="s">
        <v>60</v>
      </c>
      <c r="I41" s="19" t="s">
        <v>61</v>
      </c>
      <c r="J41" s="107"/>
      <c r="K41" s="19" t="s">
        <v>58</v>
      </c>
      <c r="L41" s="19" t="s">
        <v>59</v>
      </c>
    </row>
    <row r="42" spans="1:12" ht="31.8" thickBot="1" x14ac:dyDescent="0.35">
      <c r="A42" s="6" t="s">
        <v>40</v>
      </c>
      <c r="B42" s="6">
        <v>1150</v>
      </c>
      <c r="E42" s="21" t="s">
        <v>74</v>
      </c>
      <c r="F42" s="23">
        <f>F35</f>
        <v>1267.0135190542953</v>
      </c>
      <c r="G42" s="23">
        <f t="shared" ref="G42:L42" si="6">G35</f>
        <v>1124.5</v>
      </c>
      <c r="H42" s="23">
        <f t="shared" si="6"/>
        <v>1157.5</v>
      </c>
      <c r="I42" s="23">
        <f t="shared" si="6"/>
        <v>1201.5</v>
      </c>
      <c r="J42" s="23">
        <f t="shared" si="6"/>
        <v>4750.5135190542951</v>
      </c>
      <c r="K42" s="23">
        <f t="shared" si="6"/>
        <v>1202.5</v>
      </c>
      <c r="L42" s="23">
        <f t="shared" si="6"/>
        <v>986</v>
      </c>
    </row>
    <row r="43" spans="1:12" ht="31.8" thickBot="1" x14ac:dyDescent="0.35">
      <c r="A43" s="6" t="s">
        <v>41</v>
      </c>
      <c r="B43" s="6">
        <v>1200</v>
      </c>
      <c r="E43" s="21" t="s">
        <v>75</v>
      </c>
      <c r="F43" s="19">
        <f>$B$23</f>
        <v>3</v>
      </c>
      <c r="G43" s="19">
        <f t="shared" ref="G43:L43" si="7">$B$23</f>
        <v>3</v>
      </c>
      <c r="H43" s="19">
        <f t="shared" si="7"/>
        <v>3</v>
      </c>
      <c r="I43" s="19">
        <f t="shared" si="7"/>
        <v>3</v>
      </c>
      <c r="J43" s="19">
        <f t="shared" si="7"/>
        <v>3</v>
      </c>
      <c r="K43" s="19">
        <f t="shared" si="7"/>
        <v>3</v>
      </c>
      <c r="L43" s="19">
        <f t="shared" si="7"/>
        <v>3</v>
      </c>
    </row>
    <row r="44" spans="1:12" ht="31.8" thickBot="1" x14ac:dyDescent="0.35">
      <c r="A44" s="5" t="s">
        <v>42</v>
      </c>
      <c r="B44" s="8">
        <v>28.741954790096877</v>
      </c>
      <c r="E44" s="21" t="s">
        <v>76</v>
      </c>
      <c r="F44" s="19">
        <f>F42*F43</f>
        <v>3801.0405571628862</v>
      </c>
      <c r="G44" s="19">
        <f>G42*G43</f>
        <v>3373.5</v>
      </c>
      <c r="H44" s="19">
        <f t="shared" ref="H44:L44" si="8">H42*H43</f>
        <v>3472.5</v>
      </c>
      <c r="I44" s="19">
        <f t="shared" si="8"/>
        <v>3604.5</v>
      </c>
      <c r="J44" s="19">
        <f t="shared" si="8"/>
        <v>14251.540557162885</v>
      </c>
      <c r="K44" s="19">
        <f t="shared" si="8"/>
        <v>3607.5</v>
      </c>
      <c r="L44" s="19">
        <f t="shared" si="8"/>
        <v>2958</v>
      </c>
    </row>
    <row r="45" spans="1:12" ht="31.8" thickBot="1" x14ac:dyDescent="0.35">
      <c r="E45" s="21" t="s">
        <v>77</v>
      </c>
      <c r="F45" s="19">
        <f>$B$18/100*G44</f>
        <v>506.02499999999998</v>
      </c>
      <c r="G45" s="19">
        <f>$B$18/100*H44</f>
        <v>520.875</v>
      </c>
      <c r="H45" s="19">
        <f t="shared" ref="H45:L45" si="9">$B$18/100*I44</f>
        <v>540.67499999999995</v>
      </c>
      <c r="I45" s="19">
        <f>$B$18/100*K44</f>
        <v>541.125</v>
      </c>
      <c r="J45" s="19" t="s">
        <v>105</v>
      </c>
      <c r="K45" s="19">
        <f>$B$18/100*L44</f>
        <v>443.7</v>
      </c>
      <c r="L45" s="19">
        <f t="shared" si="9"/>
        <v>0</v>
      </c>
    </row>
    <row r="46" spans="1:12" ht="31.8" thickBot="1" x14ac:dyDescent="0.35">
      <c r="E46" s="21" t="s">
        <v>78</v>
      </c>
      <c r="F46" s="19">
        <f>F44+F45</f>
        <v>4307.0655571628859</v>
      </c>
      <c r="G46" s="19">
        <f t="shared" ref="G46:L46" si="10">G44+G45</f>
        <v>3894.375</v>
      </c>
      <c r="H46" s="19">
        <f t="shared" si="10"/>
        <v>4013.1750000000002</v>
      </c>
      <c r="I46" s="19">
        <f t="shared" si="10"/>
        <v>4145.625</v>
      </c>
      <c r="J46" s="19" t="e">
        <f t="shared" si="10"/>
        <v>#VALUE!</v>
      </c>
      <c r="K46" s="19">
        <f t="shared" si="10"/>
        <v>4051.2</v>
      </c>
      <c r="L46" s="19">
        <f t="shared" si="10"/>
        <v>2958</v>
      </c>
    </row>
    <row r="47" spans="1:12" ht="31.8" thickBot="1" x14ac:dyDescent="0.35">
      <c r="E47" s="21" t="s">
        <v>79</v>
      </c>
      <c r="F47" s="22">
        <f>B6/B21</f>
        <v>125</v>
      </c>
      <c r="G47" s="19">
        <f>F45</f>
        <v>506.02499999999998</v>
      </c>
      <c r="H47" s="19">
        <f t="shared" ref="H47:L47" si="11">G45</f>
        <v>520.875</v>
      </c>
      <c r="I47" s="19">
        <f t="shared" si="11"/>
        <v>540.67499999999995</v>
      </c>
      <c r="J47" s="19">
        <f t="shared" si="11"/>
        <v>541.125</v>
      </c>
      <c r="K47" s="19">
        <f>I45</f>
        <v>541.125</v>
      </c>
      <c r="L47" s="19">
        <f t="shared" si="11"/>
        <v>443.7</v>
      </c>
    </row>
    <row r="48" spans="1:12" ht="31.8" thickBot="1" x14ac:dyDescent="0.35">
      <c r="E48" s="21" t="s">
        <v>80</v>
      </c>
      <c r="F48" s="19">
        <f>F46-F47</f>
        <v>4182.0655571628859</v>
      </c>
      <c r="G48" s="19">
        <f t="shared" ref="G48:L48" si="12">G46-G47</f>
        <v>3388.35</v>
      </c>
      <c r="H48" s="19">
        <f t="shared" si="12"/>
        <v>3492.3</v>
      </c>
      <c r="I48" s="19">
        <f t="shared" si="12"/>
        <v>3604.95</v>
      </c>
      <c r="J48" s="19" t="e">
        <f t="shared" si="12"/>
        <v>#VALUE!</v>
      </c>
      <c r="K48" s="19">
        <f t="shared" si="12"/>
        <v>3510.0749999999998</v>
      </c>
      <c r="L48" s="19">
        <f t="shared" si="12"/>
        <v>2514.3000000000002</v>
      </c>
    </row>
    <row r="49" spans="5:12" ht="16.2" thickBot="1" x14ac:dyDescent="0.35">
      <c r="E49" s="21" t="s">
        <v>81</v>
      </c>
      <c r="F49" s="19">
        <f>$B$21</f>
        <v>4</v>
      </c>
      <c r="G49" s="19">
        <f t="shared" ref="G49:L49" si="13">$B$21</f>
        <v>4</v>
      </c>
      <c r="H49" s="19">
        <f t="shared" si="13"/>
        <v>4</v>
      </c>
      <c r="I49" s="19">
        <f t="shared" si="13"/>
        <v>4</v>
      </c>
      <c r="J49" s="19">
        <f t="shared" si="13"/>
        <v>4</v>
      </c>
      <c r="K49" s="19">
        <f t="shared" si="13"/>
        <v>4</v>
      </c>
      <c r="L49" s="19">
        <f t="shared" si="13"/>
        <v>4</v>
      </c>
    </row>
    <row r="50" spans="5:12" ht="31.8" thickBot="1" x14ac:dyDescent="0.35">
      <c r="E50" s="21" t="s">
        <v>82</v>
      </c>
      <c r="F50" s="19">
        <f>F48*F49</f>
        <v>16728.262228651543</v>
      </c>
      <c r="G50" s="19">
        <f t="shared" ref="G50:L50" si="14">G48*G49</f>
        <v>13553.4</v>
      </c>
      <c r="H50" s="19">
        <f t="shared" si="14"/>
        <v>13969.2</v>
      </c>
      <c r="I50" s="19">
        <f>I48*I49</f>
        <v>14419.8</v>
      </c>
      <c r="J50" s="19">
        <f>SUM(F50:I50)</f>
        <v>58670.662228651549</v>
      </c>
      <c r="K50" s="19">
        <f t="shared" si="14"/>
        <v>14040.3</v>
      </c>
      <c r="L50" s="19">
        <f t="shared" si="14"/>
        <v>10057.200000000001</v>
      </c>
    </row>
    <row r="54" spans="5:12" ht="16.2" thickBot="1" x14ac:dyDescent="0.35">
      <c r="E54" s="18" t="s">
        <v>83</v>
      </c>
    </row>
    <row r="55" spans="5:12" ht="16.2" thickBot="1" x14ac:dyDescent="0.35">
      <c r="E55" s="106" t="s">
        <v>67</v>
      </c>
      <c r="F55" s="108" t="s">
        <v>56</v>
      </c>
      <c r="G55" s="109"/>
      <c r="H55" s="109"/>
      <c r="I55" s="110"/>
      <c r="J55" s="106" t="s">
        <v>68</v>
      </c>
    </row>
    <row r="56" spans="5:12" ht="16.2" thickBot="1" x14ac:dyDescent="0.35">
      <c r="E56" s="107"/>
      <c r="F56" s="19" t="s">
        <v>58</v>
      </c>
      <c r="G56" s="19" t="s">
        <v>59</v>
      </c>
      <c r="H56" s="19" t="s">
        <v>60</v>
      </c>
      <c r="I56" s="19" t="s">
        <v>61</v>
      </c>
      <c r="J56" s="107"/>
    </row>
    <row r="57" spans="5:12" ht="31.8" thickBot="1" x14ac:dyDescent="0.35">
      <c r="E57" s="21" t="s">
        <v>74</v>
      </c>
      <c r="F57" s="23">
        <f>F42</f>
        <v>1267.0135190542953</v>
      </c>
      <c r="G57" s="23">
        <f t="shared" ref="G57:J57" si="15">G42</f>
        <v>1124.5</v>
      </c>
      <c r="H57" s="23">
        <f t="shared" si="15"/>
        <v>1157.5</v>
      </c>
      <c r="I57" s="23">
        <f t="shared" si="15"/>
        <v>1201.5</v>
      </c>
      <c r="J57" s="23">
        <f t="shared" si="15"/>
        <v>4750.5135190542951</v>
      </c>
    </row>
    <row r="58" spans="5:12" ht="31.8" thickBot="1" x14ac:dyDescent="0.35">
      <c r="E58" s="21" t="s">
        <v>84</v>
      </c>
      <c r="F58" s="19">
        <v>2</v>
      </c>
      <c r="G58" s="19">
        <v>2</v>
      </c>
      <c r="H58" s="19">
        <v>2</v>
      </c>
      <c r="I58" s="19">
        <v>2</v>
      </c>
      <c r="J58" s="19">
        <v>2</v>
      </c>
    </row>
    <row r="59" spans="5:12" ht="47.4" thickBot="1" x14ac:dyDescent="0.35">
      <c r="E59" s="21" t="s">
        <v>85</v>
      </c>
      <c r="F59" s="19">
        <f>F57*F58</f>
        <v>2534.0270381085907</v>
      </c>
      <c r="G59" s="19">
        <f t="shared" ref="G59:J59" si="16">G57*G58</f>
        <v>2249</v>
      </c>
      <c r="H59" s="19">
        <f t="shared" si="16"/>
        <v>2315</v>
      </c>
      <c r="I59" s="19">
        <f t="shared" si="16"/>
        <v>2403</v>
      </c>
      <c r="J59" s="19">
        <f t="shared" si="16"/>
        <v>9501.0270381085902</v>
      </c>
    </row>
    <row r="60" spans="5:12" ht="31.8" thickBot="1" x14ac:dyDescent="0.35">
      <c r="E60" s="21" t="s">
        <v>86</v>
      </c>
      <c r="F60" s="19">
        <v>4</v>
      </c>
      <c r="G60" s="19">
        <v>4</v>
      </c>
      <c r="H60" s="19">
        <v>4</v>
      </c>
      <c r="I60" s="19">
        <v>4</v>
      </c>
      <c r="J60" s="19">
        <v>4</v>
      </c>
    </row>
    <row r="61" spans="5:12" ht="16.2" thickBot="1" x14ac:dyDescent="0.35">
      <c r="E61" s="21" t="s">
        <v>87</v>
      </c>
      <c r="F61" s="29">
        <f>0.37*F60*F59</f>
        <v>3750.3600164007144</v>
      </c>
      <c r="G61" s="29">
        <f t="shared" ref="G61:J61" si="17">(0.37*G60*G59)</f>
        <v>3328.52</v>
      </c>
      <c r="H61" s="29">
        <f t="shared" si="17"/>
        <v>3426.2</v>
      </c>
      <c r="I61" s="29">
        <f t="shared" si="17"/>
        <v>3556.44</v>
      </c>
      <c r="J61" s="29">
        <f t="shared" si="17"/>
        <v>14061.520016400713</v>
      </c>
    </row>
    <row r="62" spans="5:12" ht="31.8" thickBot="1" x14ac:dyDescent="0.35">
      <c r="E62" s="41" t="s">
        <v>88</v>
      </c>
      <c r="F62" s="42">
        <f>F59*F60+F61</f>
        <v>13886.468168835077</v>
      </c>
      <c r="G62" s="42">
        <f t="shared" ref="G62:J62" si="18">G59*G60+G61</f>
        <v>12324.52</v>
      </c>
      <c r="H62" s="42">
        <f t="shared" si="18"/>
        <v>12686.2</v>
      </c>
      <c r="I62" s="42">
        <f t="shared" si="18"/>
        <v>13168.44</v>
      </c>
      <c r="J62" s="42">
        <f t="shared" si="18"/>
        <v>52065.628168835072</v>
      </c>
    </row>
    <row r="64" spans="5:12" ht="31.95" customHeight="1" thickBot="1" x14ac:dyDescent="0.35">
      <c r="E64" s="120" t="s">
        <v>89</v>
      </c>
      <c r="F64" s="120"/>
    </row>
    <row r="65" spans="5:10" ht="16.2" thickBot="1" x14ac:dyDescent="0.35">
      <c r="E65" s="106" t="s">
        <v>67</v>
      </c>
      <c r="F65" s="108" t="s">
        <v>56</v>
      </c>
      <c r="G65" s="109"/>
      <c r="H65" s="109"/>
      <c r="I65" s="110"/>
      <c r="J65" s="106" t="s">
        <v>68</v>
      </c>
    </row>
    <row r="66" spans="5:10" ht="16.2" thickBot="1" x14ac:dyDescent="0.35">
      <c r="E66" s="107"/>
      <c r="F66" s="19" t="s">
        <v>58</v>
      </c>
      <c r="G66" s="19" t="s">
        <v>59</v>
      </c>
      <c r="H66" s="19" t="s">
        <v>60</v>
      </c>
      <c r="I66" s="19" t="s">
        <v>61</v>
      </c>
      <c r="J66" s="107"/>
    </row>
    <row r="67" spans="5:10" ht="16.2" thickBot="1" x14ac:dyDescent="0.35">
      <c r="E67" s="21" t="s">
        <v>90</v>
      </c>
      <c r="F67" s="19"/>
      <c r="G67" s="19"/>
      <c r="H67" s="19"/>
      <c r="I67" s="19"/>
      <c r="J67" s="19"/>
    </row>
    <row r="68" spans="5:10" ht="16.2" thickBot="1" x14ac:dyDescent="0.35">
      <c r="E68" s="21" t="s">
        <v>91</v>
      </c>
      <c r="F68" s="23">
        <f>F44*F49*0.012</f>
        <v>182.44994674381854</v>
      </c>
      <c r="G68" s="23">
        <f t="shared" ref="G68:I68" si="19">G44*G49*0.012</f>
        <v>161.928</v>
      </c>
      <c r="H68" s="23">
        <f t="shared" si="19"/>
        <v>166.68</v>
      </c>
      <c r="I68" s="23">
        <f t="shared" si="19"/>
        <v>173.01599999999999</v>
      </c>
      <c r="J68" s="23">
        <f>SUM(F68:I68)</f>
        <v>684.07394674381851</v>
      </c>
    </row>
    <row r="69" spans="5:10" ht="16.2" thickBot="1" x14ac:dyDescent="0.35">
      <c r="E69" s="21" t="s">
        <v>92</v>
      </c>
      <c r="F69" s="8">
        <v>787.27499999999998</v>
      </c>
      <c r="G69" s="8">
        <v>787.27499999999998</v>
      </c>
      <c r="H69" s="8">
        <v>787.27499999999998</v>
      </c>
      <c r="I69" s="8">
        <v>787.27499999999998</v>
      </c>
      <c r="J69" s="8">
        <f>SUM(F69:I69)</f>
        <v>3149.1</v>
      </c>
    </row>
    <row r="70" spans="5:10" ht="16.2" thickBot="1" x14ac:dyDescent="0.35">
      <c r="E70" s="21" t="s">
        <v>93</v>
      </c>
      <c r="F70" s="30">
        <f>0.62*F59*F60</f>
        <v>6284.387054509305</v>
      </c>
      <c r="G70" s="30">
        <f t="shared" ref="G70:J70" si="20">0.62*G59*G60</f>
        <v>5577.5199999999995</v>
      </c>
      <c r="H70" s="30">
        <f t="shared" si="20"/>
        <v>5741.2</v>
      </c>
      <c r="I70" s="30">
        <f t="shared" si="20"/>
        <v>5959.44</v>
      </c>
      <c r="J70" s="30">
        <f t="shared" si="20"/>
        <v>23562.547054509305</v>
      </c>
    </row>
    <row r="71" spans="5:10" ht="16.2" thickBot="1" x14ac:dyDescent="0.35">
      <c r="E71" s="21" t="s">
        <v>94</v>
      </c>
      <c r="F71" s="23">
        <f>F68+F69+F70</f>
        <v>7254.1120012531237</v>
      </c>
      <c r="G71" s="23">
        <f t="shared" ref="G71:J71" si="21">G68+G69+G70</f>
        <v>6526.723</v>
      </c>
      <c r="H71" s="23">
        <f t="shared" si="21"/>
        <v>6695.1549999999997</v>
      </c>
      <c r="I71" s="23">
        <f t="shared" si="21"/>
        <v>6919.7309999999998</v>
      </c>
      <c r="J71" s="23">
        <f t="shared" si="21"/>
        <v>27395.721001253121</v>
      </c>
    </row>
    <row r="72" spans="5:10" ht="16.2" thickBot="1" x14ac:dyDescent="0.35">
      <c r="E72" s="21" t="s">
        <v>95</v>
      </c>
      <c r="F72" s="8">
        <v>787</v>
      </c>
      <c r="G72" s="8">
        <v>787</v>
      </c>
      <c r="H72" s="8">
        <v>787</v>
      </c>
      <c r="I72" s="8">
        <v>787</v>
      </c>
      <c r="J72" s="8">
        <f>SUM(F72:I72)</f>
        <v>3148</v>
      </c>
    </row>
    <row r="73" spans="5:10" ht="31.8" thickBot="1" x14ac:dyDescent="0.35">
      <c r="E73" s="21" t="s">
        <v>96</v>
      </c>
      <c r="F73" s="23">
        <f>F71-F72</f>
        <v>6467.1120012531237</v>
      </c>
      <c r="G73" s="23">
        <f t="shared" ref="G73:J73" si="22">G71-G72</f>
        <v>5739.723</v>
      </c>
      <c r="H73" s="23">
        <f t="shared" si="22"/>
        <v>5908.1549999999997</v>
      </c>
      <c r="I73" s="23">
        <f t="shared" si="22"/>
        <v>6132.7309999999998</v>
      </c>
      <c r="J73" s="23">
        <f t="shared" si="22"/>
        <v>24247.721001253121</v>
      </c>
    </row>
    <row r="76" spans="5:10" ht="16.2" thickBot="1" x14ac:dyDescent="0.35">
      <c r="E76" s="121" t="s">
        <v>97</v>
      </c>
      <c r="F76" s="121"/>
    </row>
    <row r="77" spans="5:10" ht="16.2" thickBot="1" x14ac:dyDescent="0.35">
      <c r="E77" s="106" t="s">
        <v>67</v>
      </c>
      <c r="F77" s="108" t="s">
        <v>56</v>
      </c>
      <c r="G77" s="109"/>
      <c r="H77" s="109"/>
      <c r="I77" s="110"/>
      <c r="J77" s="106" t="s">
        <v>68</v>
      </c>
    </row>
    <row r="78" spans="5:10" ht="16.2" thickBot="1" x14ac:dyDescent="0.35">
      <c r="E78" s="107"/>
      <c r="F78" s="19" t="s">
        <v>58</v>
      </c>
      <c r="G78" s="19" t="s">
        <v>59</v>
      </c>
      <c r="H78" s="19" t="s">
        <v>60</v>
      </c>
      <c r="I78" s="19" t="s">
        <v>61</v>
      </c>
      <c r="J78" s="107"/>
    </row>
    <row r="79" spans="5:10" ht="16.2" thickBot="1" x14ac:dyDescent="0.35">
      <c r="E79" s="21" t="s">
        <v>98</v>
      </c>
      <c r="F79" s="19">
        <f>F44*F49</f>
        <v>15204.162228651545</v>
      </c>
      <c r="G79" s="19">
        <f t="shared" ref="G79:I79" si="23">G44*G49</f>
        <v>13494</v>
      </c>
      <c r="H79" s="19">
        <f t="shared" si="23"/>
        <v>13890</v>
      </c>
      <c r="I79" s="19">
        <f t="shared" si="23"/>
        <v>14418</v>
      </c>
      <c r="J79" s="19">
        <f>SUM(F79:I79)</f>
        <v>57006.162228651549</v>
      </c>
    </row>
    <row r="80" spans="5:10" ht="16.2" thickBot="1" x14ac:dyDescent="0.35">
      <c r="E80" s="21" t="s">
        <v>99</v>
      </c>
      <c r="F80" s="31">
        <f>F62</f>
        <v>13886.468168835077</v>
      </c>
      <c r="G80" s="19">
        <f t="shared" ref="G80:J80" si="24">G62</f>
        <v>12324.52</v>
      </c>
      <c r="H80" s="19">
        <f t="shared" si="24"/>
        <v>12686.2</v>
      </c>
      <c r="I80" s="19">
        <f t="shared" si="24"/>
        <v>13168.44</v>
      </c>
      <c r="J80" s="19">
        <f t="shared" si="24"/>
        <v>52065.628168835072</v>
      </c>
    </row>
    <row r="81" spans="5:10" ht="16.2" thickBot="1" x14ac:dyDescent="0.35">
      <c r="E81" s="21" t="s">
        <v>100</v>
      </c>
      <c r="F81" s="19" t="s">
        <v>105</v>
      </c>
      <c r="G81" s="19" t="s">
        <v>105</v>
      </c>
      <c r="H81" s="19" t="s">
        <v>105</v>
      </c>
      <c r="I81" s="19" t="s">
        <v>105</v>
      </c>
      <c r="J81" s="19" t="s">
        <v>105</v>
      </c>
    </row>
    <row r="82" spans="5:10" ht="16.2" thickBot="1" x14ac:dyDescent="0.35">
      <c r="E82" s="21" t="s">
        <v>101</v>
      </c>
      <c r="F82" s="23">
        <f>F68</f>
        <v>182.44994674381854</v>
      </c>
      <c r="G82" s="19">
        <f t="shared" ref="G82:J82" si="25">G68</f>
        <v>161.928</v>
      </c>
      <c r="H82" s="19">
        <f t="shared" si="25"/>
        <v>166.68</v>
      </c>
      <c r="I82" s="19">
        <f t="shared" si="25"/>
        <v>173.01599999999999</v>
      </c>
      <c r="J82" s="19">
        <f t="shared" si="25"/>
        <v>684.07394674381851</v>
      </c>
    </row>
    <row r="83" spans="5:10" ht="16.2" thickBot="1" x14ac:dyDescent="0.35">
      <c r="E83" s="21" t="s">
        <v>102</v>
      </c>
      <c r="F83" s="23">
        <f>F72</f>
        <v>787</v>
      </c>
      <c r="G83" s="19">
        <f t="shared" ref="G83:I83" si="26">G72</f>
        <v>787</v>
      </c>
      <c r="H83" s="19">
        <f t="shared" si="26"/>
        <v>787</v>
      </c>
      <c r="I83" s="19">
        <f t="shared" si="26"/>
        <v>787</v>
      </c>
      <c r="J83" s="19">
        <f>J72</f>
        <v>3148</v>
      </c>
    </row>
    <row r="84" spans="5:10" ht="16.2" thickBot="1" x14ac:dyDescent="0.35">
      <c r="E84" s="21" t="s">
        <v>103</v>
      </c>
      <c r="F84" s="30">
        <f>F70</f>
        <v>6284.387054509305</v>
      </c>
      <c r="G84" s="26">
        <f t="shared" ref="G84:J84" si="27">G70</f>
        <v>5577.5199999999995</v>
      </c>
      <c r="H84" s="26">
        <f t="shared" si="27"/>
        <v>5741.2</v>
      </c>
      <c r="I84" s="26">
        <f t="shared" si="27"/>
        <v>5959.44</v>
      </c>
      <c r="J84" s="26">
        <f t="shared" si="27"/>
        <v>23562.547054509305</v>
      </c>
    </row>
    <row r="85" spans="5:10" ht="31.8" thickBot="1" x14ac:dyDescent="0.35">
      <c r="E85" s="21" t="s">
        <v>104</v>
      </c>
      <c r="F85" s="19">
        <f>SUM(F79:F84)</f>
        <v>36344.467398739747</v>
      </c>
      <c r="G85" s="19">
        <f t="shared" ref="G85:I85" si="28">SUM(G79:G84)</f>
        <v>32344.968000000001</v>
      </c>
      <c r="H85" s="19">
        <f t="shared" si="28"/>
        <v>33271.08</v>
      </c>
      <c r="I85" s="19">
        <f t="shared" si="28"/>
        <v>34505.896000000001</v>
      </c>
      <c r="J85" s="19">
        <f>SUM(J79:J84)</f>
        <v>136466.41139873976</v>
      </c>
    </row>
    <row r="86" spans="5:10" ht="31.8" thickBot="1" x14ac:dyDescent="0.35">
      <c r="E86" s="19" t="s">
        <v>106</v>
      </c>
      <c r="F86" s="19"/>
      <c r="G86" s="19"/>
      <c r="H86" s="19"/>
      <c r="I86" s="19"/>
      <c r="J86" s="32">
        <f>J85/J57</f>
        <v>28.726665201850999</v>
      </c>
    </row>
    <row r="88" spans="5:10" x14ac:dyDescent="0.3">
      <c r="G88" s="124">
        <f>(J85-J83)/J35</f>
        <v>28.064000000000004</v>
      </c>
    </row>
    <row r="89" spans="5:10" ht="31.8" thickBot="1" x14ac:dyDescent="0.35">
      <c r="E89" s="27" t="s">
        <v>107</v>
      </c>
    </row>
    <row r="90" spans="5:10" ht="16.2" thickBot="1" x14ac:dyDescent="0.35">
      <c r="E90" s="106" t="s">
        <v>67</v>
      </c>
      <c r="F90" s="108" t="s">
        <v>56</v>
      </c>
      <c r="G90" s="109"/>
      <c r="H90" s="109"/>
      <c r="I90" s="110"/>
      <c r="J90" s="106" t="s">
        <v>68</v>
      </c>
    </row>
    <row r="91" spans="5:10" ht="16.2" thickBot="1" x14ac:dyDescent="0.35">
      <c r="E91" s="107"/>
      <c r="F91" s="19" t="s">
        <v>58</v>
      </c>
      <c r="G91" s="19" t="s">
        <v>59</v>
      </c>
      <c r="H91" s="19" t="s">
        <v>60</v>
      </c>
      <c r="I91" s="19" t="s">
        <v>61</v>
      </c>
      <c r="J91" s="107"/>
    </row>
    <row r="92" spans="5:10" ht="16.2" thickBot="1" x14ac:dyDescent="0.35">
      <c r="E92" s="21" t="s">
        <v>108</v>
      </c>
      <c r="F92" s="19">
        <f>0.014*F23*$J$86</f>
        <v>472.55364257044891</v>
      </c>
      <c r="G92" s="19">
        <f t="shared" ref="G92:J92" si="29">0.014*G23*$J$86</f>
        <v>450.43411036502363</v>
      </c>
      <c r="H92" s="19">
        <f t="shared" si="29"/>
        <v>462.49930974980111</v>
      </c>
      <c r="I92" s="19">
        <f t="shared" si="29"/>
        <v>482.60797539109677</v>
      </c>
      <c r="J92" s="19">
        <f t="shared" si="29"/>
        <v>1868.0950380763704</v>
      </c>
    </row>
    <row r="93" spans="5:10" ht="16.2" thickBot="1" x14ac:dyDescent="0.35">
      <c r="E93" s="21" t="s">
        <v>109</v>
      </c>
      <c r="F93" s="19">
        <f>525+4275+2552/4+225+3828/4</f>
        <v>6620</v>
      </c>
      <c r="G93" s="19">
        <f t="shared" ref="G93:I93" si="30">525+4275+2552/4+225+3828/4</f>
        <v>6620</v>
      </c>
      <c r="H93" s="19">
        <f t="shared" si="30"/>
        <v>6620</v>
      </c>
      <c r="I93" s="19">
        <f t="shared" si="30"/>
        <v>6620</v>
      </c>
      <c r="J93" s="19">
        <f>SUM(F93:I93)</f>
        <v>26480</v>
      </c>
    </row>
    <row r="94" spans="5:10" ht="16.2" thickBot="1" x14ac:dyDescent="0.35">
      <c r="E94" s="21" t="s">
        <v>94</v>
      </c>
      <c r="F94" s="19">
        <f>F92+F93</f>
        <v>7092.5536425704486</v>
      </c>
      <c r="G94" s="19">
        <f t="shared" ref="G94:I94" si="31">G92+G93</f>
        <v>7070.434110365024</v>
      </c>
      <c r="H94" s="19">
        <f t="shared" si="31"/>
        <v>7082.4993097498009</v>
      </c>
      <c r="I94" s="19">
        <f t="shared" si="31"/>
        <v>7102.6079753910972</v>
      </c>
      <c r="J94" s="19">
        <f>J92+J93</f>
        <v>28348.095038076372</v>
      </c>
    </row>
    <row r="95" spans="5:10" ht="31.8" thickBot="1" x14ac:dyDescent="0.35">
      <c r="E95" s="21" t="s">
        <v>110</v>
      </c>
      <c r="F95" s="19">
        <f>525</f>
        <v>525</v>
      </c>
      <c r="G95" s="19">
        <f>525</f>
        <v>525</v>
      </c>
      <c r="H95" s="19">
        <f>525</f>
        <v>525</v>
      </c>
      <c r="I95" s="19">
        <f>525</f>
        <v>525</v>
      </c>
      <c r="J95" s="19">
        <f>525*4</f>
        <v>2100</v>
      </c>
    </row>
    <row r="96" spans="5:10" ht="31.8" thickBot="1" x14ac:dyDescent="0.35">
      <c r="E96" s="21" t="s">
        <v>111</v>
      </c>
      <c r="F96" s="19">
        <f>F94-F95</f>
        <v>6567.5536425704486</v>
      </c>
      <c r="G96" s="19">
        <f t="shared" ref="G96:J96" si="32">G94-G95</f>
        <v>6545.434110365024</v>
      </c>
      <c r="H96" s="19">
        <f t="shared" si="32"/>
        <v>6557.4993097498009</v>
      </c>
      <c r="I96" s="19">
        <f t="shared" si="32"/>
        <v>6577.6079753910972</v>
      </c>
      <c r="J96" s="19">
        <f t="shared" si="32"/>
        <v>26248.095038076372</v>
      </c>
    </row>
    <row r="99" spans="5:10" ht="31.8" thickBot="1" x14ac:dyDescent="0.35">
      <c r="E99" s="27" t="s">
        <v>112</v>
      </c>
    </row>
    <row r="100" spans="5:10" ht="16.2" thickBot="1" x14ac:dyDescent="0.35">
      <c r="E100" s="106" t="s">
        <v>67</v>
      </c>
      <c r="F100" s="108" t="s">
        <v>56</v>
      </c>
      <c r="G100" s="109"/>
      <c r="H100" s="109"/>
      <c r="I100" s="110"/>
      <c r="J100" s="106" t="s">
        <v>68</v>
      </c>
    </row>
    <row r="101" spans="5:10" ht="16.2" thickBot="1" x14ac:dyDescent="0.35">
      <c r="E101" s="107"/>
      <c r="F101" s="19" t="s">
        <v>58</v>
      </c>
      <c r="G101" s="19" t="s">
        <v>59</v>
      </c>
      <c r="H101" s="19" t="s">
        <v>60</v>
      </c>
      <c r="I101" s="19" t="s">
        <v>61</v>
      </c>
      <c r="J101" s="107"/>
    </row>
    <row r="102" spans="5:10" ht="31.8" thickBot="1" x14ac:dyDescent="0.35">
      <c r="E102" s="21" t="s">
        <v>113</v>
      </c>
      <c r="F102" s="22">
        <v>11200</v>
      </c>
      <c r="G102" s="19"/>
      <c r="H102" s="19"/>
      <c r="I102" s="19"/>
      <c r="J102" s="19"/>
    </row>
    <row r="103" spans="5:10" ht="31.2" x14ac:dyDescent="0.3">
      <c r="E103" s="28" t="s">
        <v>114</v>
      </c>
      <c r="F103" s="113"/>
      <c r="G103" s="113"/>
      <c r="H103" s="113"/>
      <c r="I103" s="113"/>
      <c r="J103" s="106"/>
    </row>
    <row r="104" spans="5:10" ht="16.2" thickBot="1" x14ac:dyDescent="0.35">
      <c r="E104" s="21" t="s">
        <v>115</v>
      </c>
      <c r="F104" s="114"/>
      <c r="G104" s="114"/>
      <c r="H104" s="114"/>
      <c r="I104" s="114"/>
      <c r="J104" s="107"/>
    </row>
    <row r="105" spans="5:10" ht="16.2" thickBot="1" x14ac:dyDescent="0.35">
      <c r="E105" s="21" t="s">
        <v>116</v>
      </c>
      <c r="F105" s="23">
        <f>0.65*F25</f>
        <v>36660</v>
      </c>
      <c r="G105" s="23">
        <f>0.33*F25</f>
        <v>18612</v>
      </c>
      <c r="H105" s="23"/>
      <c r="I105" s="23"/>
      <c r="J105" s="19"/>
    </row>
    <row r="106" spans="5:10" ht="16.2" thickBot="1" x14ac:dyDescent="0.35">
      <c r="E106" s="21" t="s">
        <v>117</v>
      </c>
      <c r="F106" s="23"/>
      <c r="G106" s="23">
        <f>0.65*G25</f>
        <v>34944</v>
      </c>
      <c r="H106" s="23">
        <f>0.33*G25</f>
        <v>17740.8</v>
      </c>
      <c r="I106" s="23"/>
      <c r="J106" s="19"/>
    </row>
    <row r="107" spans="5:10" ht="16.2" thickBot="1" x14ac:dyDescent="0.35">
      <c r="E107" s="21" t="s">
        <v>118</v>
      </c>
      <c r="F107" s="23"/>
      <c r="G107" s="23"/>
      <c r="H107" s="23">
        <f>0.65*H25</f>
        <v>35880</v>
      </c>
      <c r="I107" s="23">
        <f>0.33*H25</f>
        <v>18216</v>
      </c>
      <c r="J107" s="19"/>
    </row>
    <row r="108" spans="5:10" ht="16.2" thickBot="1" x14ac:dyDescent="0.35">
      <c r="E108" s="21" t="s">
        <v>119</v>
      </c>
      <c r="F108" s="23"/>
      <c r="G108" s="23"/>
      <c r="H108" s="23"/>
      <c r="I108" s="23">
        <f>0.65*I25</f>
        <v>37440</v>
      </c>
    </row>
    <row r="109" spans="5:10" ht="31.8" thickBot="1" x14ac:dyDescent="0.35">
      <c r="E109" s="21" t="s">
        <v>120</v>
      </c>
      <c r="F109" s="23"/>
      <c r="G109" s="23"/>
      <c r="H109" s="23"/>
      <c r="I109" s="23"/>
      <c r="J109" s="19"/>
    </row>
    <row r="110" spans="5:10" ht="16.2" thickBot="1" x14ac:dyDescent="0.35">
      <c r="E110" s="21" t="s">
        <v>121</v>
      </c>
      <c r="F110" s="23"/>
      <c r="G110" s="23"/>
      <c r="H110" s="23"/>
      <c r="I110" s="23">
        <f>0.33*I25</f>
        <v>19008</v>
      </c>
      <c r="J110" s="19"/>
    </row>
    <row r="113" spans="5:10" ht="16.2" thickBot="1" x14ac:dyDescent="0.35">
      <c r="E113" s="18" t="s">
        <v>122</v>
      </c>
    </row>
    <row r="114" spans="5:10" ht="16.2" thickBot="1" x14ac:dyDescent="0.35">
      <c r="E114" s="106" t="s">
        <v>67</v>
      </c>
      <c r="F114" s="108" t="s">
        <v>56</v>
      </c>
      <c r="G114" s="109"/>
      <c r="H114" s="109"/>
      <c r="I114" s="110"/>
      <c r="J114" s="106" t="s">
        <v>68</v>
      </c>
    </row>
    <row r="115" spans="5:10" ht="16.2" thickBot="1" x14ac:dyDescent="0.35">
      <c r="E115" s="107"/>
      <c r="F115" s="19" t="s">
        <v>58</v>
      </c>
      <c r="G115" s="19" t="s">
        <v>59</v>
      </c>
      <c r="H115" s="19" t="s">
        <v>60</v>
      </c>
      <c r="I115" s="19" t="s">
        <v>61</v>
      </c>
      <c r="J115" s="107"/>
    </row>
    <row r="116" spans="5:10" ht="16.2" thickBot="1" x14ac:dyDescent="0.35">
      <c r="E116" s="21" t="s">
        <v>122</v>
      </c>
      <c r="F116" s="23">
        <f>0.02*F25</f>
        <v>1128</v>
      </c>
      <c r="G116" s="23">
        <f t="shared" ref="G116:I116" si="33">0.02*G25</f>
        <v>1075.2</v>
      </c>
      <c r="H116" s="23">
        <f t="shared" si="33"/>
        <v>1104</v>
      </c>
      <c r="I116" s="23">
        <f t="shared" si="33"/>
        <v>1152</v>
      </c>
      <c r="J116" s="23">
        <f>SUM(F116:I116)</f>
        <v>4459.2</v>
      </c>
    </row>
    <row r="119" spans="5:10" ht="16.2" thickBot="1" x14ac:dyDescent="0.35">
      <c r="E119" s="18" t="s">
        <v>123</v>
      </c>
    </row>
    <row r="120" spans="5:10" ht="16.2" thickBot="1" x14ac:dyDescent="0.35">
      <c r="E120" s="106" t="s">
        <v>67</v>
      </c>
      <c r="F120" s="108" t="s">
        <v>56</v>
      </c>
      <c r="G120" s="109"/>
      <c r="H120" s="109"/>
      <c r="I120" s="110"/>
      <c r="J120" s="106" t="s">
        <v>68</v>
      </c>
    </row>
    <row r="121" spans="5:10" ht="16.2" thickBot="1" x14ac:dyDescent="0.35">
      <c r="E121" s="107"/>
      <c r="F121" s="19" t="s">
        <v>58</v>
      </c>
      <c r="G121" s="19" t="s">
        <v>59</v>
      </c>
      <c r="H121" s="19" t="s">
        <v>60</v>
      </c>
      <c r="I121" s="19" t="s">
        <v>61</v>
      </c>
      <c r="J121" s="107"/>
    </row>
    <row r="122" spans="5:10" ht="31.8" thickBot="1" x14ac:dyDescent="0.35">
      <c r="E122" s="21" t="s">
        <v>124</v>
      </c>
      <c r="F122" s="10">
        <v>6300</v>
      </c>
      <c r="G122" s="19"/>
      <c r="H122" s="19"/>
      <c r="I122" s="19"/>
      <c r="J122" s="22"/>
    </row>
    <row r="123" spans="5:10" ht="15.6" x14ac:dyDescent="0.3">
      <c r="E123" s="28" t="s">
        <v>125</v>
      </c>
      <c r="F123" s="106"/>
      <c r="G123" s="106"/>
      <c r="H123" s="106"/>
      <c r="I123" s="106"/>
      <c r="J123" s="106"/>
    </row>
    <row r="124" spans="5:10" ht="16.2" thickBot="1" x14ac:dyDescent="0.35">
      <c r="E124" s="21" t="s">
        <v>126</v>
      </c>
      <c r="F124" s="107"/>
      <c r="G124" s="107"/>
      <c r="H124" s="107"/>
      <c r="I124" s="107"/>
      <c r="J124" s="107"/>
    </row>
    <row r="125" spans="5:10" ht="16.2" thickBot="1" x14ac:dyDescent="0.35">
      <c r="E125" s="21" t="s">
        <v>116</v>
      </c>
      <c r="F125" s="23">
        <f>0.65*F50</f>
        <v>10873.370448623504</v>
      </c>
      <c r="G125" s="19">
        <f>0.35*F50</f>
        <v>5854.8917800280396</v>
      </c>
      <c r="H125" s="19"/>
      <c r="I125" s="19"/>
      <c r="J125" s="19"/>
    </row>
    <row r="126" spans="5:10" ht="16.2" thickBot="1" x14ac:dyDescent="0.35">
      <c r="E126" s="21" t="s">
        <v>117</v>
      </c>
      <c r="F126" s="19"/>
      <c r="G126" s="19">
        <f>0.65*G50</f>
        <v>8809.7100000000009</v>
      </c>
      <c r="H126" s="19">
        <f>0.35*G50</f>
        <v>4743.6899999999996</v>
      </c>
      <c r="I126" s="19"/>
      <c r="J126" s="19"/>
    </row>
    <row r="127" spans="5:10" ht="16.2" thickBot="1" x14ac:dyDescent="0.35">
      <c r="E127" s="21" t="s">
        <v>118</v>
      </c>
      <c r="F127" s="19"/>
      <c r="G127" s="19"/>
      <c r="H127" s="19">
        <f>0.65*H50</f>
        <v>9079.9800000000014</v>
      </c>
      <c r="I127" s="19">
        <f>0.35*H50</f>
        <v>4889.22</v>
      </c>
      <c r="J127" s="19"/>
    </row>
    <row r="128" spans="5:10" ht="16.2" thickBot="1" x14ac:dyDescent="0.35">
      <c r="E128" s="21" t="s">
        <v>119</v>
      </c>
      <c r="F128" s="19"/>
      <c r="G128" s="19"/>
      <c r="H128" s="19"/>
      <c r="I128" s="19">
        <f>0.65*I50</f>
        <v>9372.869999999999</v>
      </c>
    </row>
    <row r="129" spans="4:10" ht="31.8" thickBot="1" x14ac:dyDescent="0.35">
      <c r="E129" s="21" t="s">
        <v>127</v>
      </c>
      <c r="F129" s="19"/>
      <c r="G129" s="19"/>
      <c r="H129" s="19"/>
      <c r="I129" s="19"/>
      <c r="J129" s="19"/>
    </row>
    <row r="130" spans="4:10" ht="16.2" thickBot="1" x14ac:dyDescent="0.35">
      <c r="E130" s="21" t="s">
        <v>128</v>
      </c>
      <c r="F130" s="19"/>
      <c r="G130" s="19"/>
      <c r="H130" s="19"/>
      <c r="I130" s="19">
        <f>0.35*I50</f>
        <v>5046.9299999999994</v>
      </c>
      <c r="J130" s="19"/>
    </row>
    <row r="133" spans="4:10" ht="16.2" thickBot="1" x14ac:dyDescent="0.35">
      <c r="E133" s="18" t="s">
        <v>129</v>
      </c>
    </row>
    <row r="134" spans="4:10" ht="16.2" thickBot="1" x14ac:dyDescent="0.35">
      <c r="E134" s="106" t="s">
        <v>67</v>
      </c>
      <c r="F134" s="108" t="s">
        <v>56</v>
      </c>
      <c r="G134" s="109"/>
      <c r="H134" s="109"/>
      <c r="I134" s="110"/>
      <c r="J134" s="106" t="s">
        <v>68</v>
      </c>
    </row>
    <row r="135" spans="4:10" ht="16.2" thickBot="1" x14ac:dyDescent="0.35">
      <c r="E135" s="107"/>
      <c r="F135" s="19" t="s">
        <v>58</v>
      </c>
      <c r="G135" s="19" t="s">
        <v>59</v>
      </c>
      <c r="H135" s="19" t="s">
        <v>60</v>
      </c>
      <c r="I135" s="19" t="s">
        <v>61</v>
      </c>
      <c r="J135" s="107"/>
    </row>
    <row r="136" spans="4:10" ht="16.2" thickBot="1" x14ac:dyDescent="0.35">
      <c r="E136" s="21" t="s">
        <v>130</v>
      </c>
      <c r="F136">
        <v>1820</v>
      </c>
      <c r="G136" s="23">
        <f>F162</f>
        <v>1767.4467387178374</v>
      </c>
      <c r="H136" s="23">
        <f>G162</f>
        <v>11789.755098324771</v>
      </c>
      <c r="I136" s="23">
        <f>H162</f>
        <v>26249.945488574973</v>
      </c>
      <c r="J136" s="19"/>
    </row>
    <row r="137" spans="4:10" ht="144.6" thickBot="1" x14ac:dyDescent="0.35">
      <c r="D137" s="12" t="s">
        <v>152</v>
      </c>
      <c r="E137" s="21" t="s">
        <v>131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</row>
    <row r="138" spans="4:10" ht="16.2" thickBot="1" x14ac:dyDescent="0.35">
      <c r="E138" s="21" t="s">
        <v>132</v>
      </c>
      <c r="F138" s="23">
        <f>F105</f>
        <v>36660</v>
      </c>
      <c r="G138" s="23">
        <f>G105+G106</f>
        <v>53556</v>
      </c>
      <c r="H138" s="23">
        <f>H106+H107</f>
        <v>53620.800000000003</v>
      </c>
      <c r="I138" s="23">
        <f>I107+I108</f>
        <v>55656</v>
      </c>
      <c r="J138" s="19"/>
    </row>
    <row r="139" spans="4:10" ht="31.8" thickBot="1" x14ac:dyDescent="0.35">
      <c r="E139" s="21" t="s">
        <v>133</v>
      </c>
      <c r="F139" s="22">
        <v>11200</v>
      </c>
      <c r="G139" s="23"/>
      <c r="H139" s="23"/>
      <c r="I139" s="23"/>
      <c r="J139" s="22">
        <v>11200</v>
      </c>
    </row>
    <row r="140" spans="4:10" ht="16.2" thickBot="1" x14ac:dyDescent="0.35">
      <c r="E140" s="21" t="s">
        <v>134</v>
      </c>
      <c r="F140" s="19"/>
      <c r="G140" s="19"/>
      <c r="H140" s="19"/>
      <c r="I140" s="19"/>
      <c r="J140" s="19"/>
    </row>
    <row r="141" spans="4:10" ht="16.2" thickBot="1" x14ac:dyDescent="0.35">
      <c r="E141" s="21" t="s">
        <v>155</v>
      </c>
      <c r="F141" s="38">
        <f>(0.05*F155)/4</f>
        <v>23.556000000000001</v>
      </c>
      <c r="G141" s="38">
        <f>(0.05*F155)/4</f>
        <v>23.556000000000001</v>
      </c>
      <c r="H141" s="38">
        <f>(0.05*F155)/4</f>
        <v>23.556000000000001</v>
      </c>
      <c r="I141" s="38">
        <f>((0.05*F155)/4)*0.6</f>
        <v>14.133599999999999</v>
      </c>
      <c r="J141" s="38">
        <f>SUM(F141:I141)</f>
        <v>84.801600000000008</v>
      </c>
    </row>
    <row r="142" spans="4:10" ht="16.2" thickBot="1" x14ac:dyDescent="0.35">
      <c r="E142" s="21" t="s">
        <v>154</v>
      </c>
      <c r="F142" s="19"/>
      <c r="G142" s="19"/>
      <c r="H142" s="39">
        <f>F155*0.4*1.1</f>
        <v>829.17120000000011</v>
      </c>
      <c r="I142" s="19"/>
      <c r="J142" s="19"/>
    </row>
    <row r="143" spans="4:10" ht="16.2" thickBot="1" x14ac:dyDescent="0.35">
      <c r="E143" s="21" t="s">
        <v>135</v>
      </c>
      <c r="F143" s="34">
        <f>SUM(F136:F142)</f>
        <v>49703.555999999997</v>
      </c>
      <c r="G143" s="34">
        <f t="shared" ref="G143:I143" si="34">SUM(G136:G142)</f>
        <v>55347.002738717834</v>
      </c>
      <c r="H143" s="34">
        <f t="shared" si="34"/>
        <v>66263.282298324775</v>
      </c>
      <c r="I143" s="34">
        <f t="shared" si="34"/>
        <v>81920.079088574974</v>
      </c>
      <c r="J143" s="34">
        <f t="shared" ref="J143" si="35">J136+J142+J138+J139+J141</f>
        <v>11284.801600000001</v>
      </c>
    </row>
    <row r="144" spans="4:10" ht="16.2" thickBot="1" x14ac:dyDescent="0.35">
      <c r="E144" s="21" t="s">
        <v>136</v>
      </c>
      <c r="F144" s="19" t="s">
        <v>105</v>
      </c>
      <c r="G144" s="19" t="s">
        <v>105</v>
      </c>
      <c r="H144" s="19" t="s">
        <v>105</v>
      </c>
      <c r="I144" s="19" t="s">
        <v>105</v>
      </c>
      <c r="J144" s="19" t="s">
        <v>105</v>
      </c>
    </row>
    <row r="145" spans="4:10" ht="16.2" thickBot="1" x14ac:dyDescent="0.35">
      <c r="E145" s="21" t="s">
        <v>137</v>
      </c>
      <c r="F145" s="23">
        <f>F125</f>
        <v>10873.370448623504</v>
      </c>
      <c r="G145" s="19">
        <f>G125+G126</f>
        <v>14664.601780028041</v>
      </c>
      <c r="H145" s="19">
        <f>H126+H127</f>
        <v>13823.670000000002</v>
      </c>
      <c r="I145" s="19">
        <f>I127+I128</f>
        <v>14262.09</v>
      </c>
      <c r="J145" s="19"/>
    </row>
    <row r="146" spans="4:10" ht="31.8" thickBot="1" x14ac:dyDescent="0.35">
      <c r="E146" s="21" t="s">
        <v>138</v>
      </c>
      <c r="F146">
        <v>6300</v>
      </c>
      <c r="G146" s="19"/>
      <c r="H146" s="19"/>
      <c r="I146" s="19"/>
      <c r="J146" s="19"/>
    </row>
    <row r="147" spans="4:10" ht="16.2" thickBot="1" x14ac:dyDescent="0.35">
      <c r="E147" s="21" t="s">
        <v>139</v>
      </c>
      <c r="F147" s="19"/>
      <c r="G147" s="19"/>
      <c r="H147" s="19"/>
      <c r="I147" s="19"/>
      <c r="J147" s="19"/>
    </row>
    <row r="148" spans="4:10" ht="31.8" thickBot="1" x14ac:dyDescent="0.35">
      <c r="E148" s="21" t="s">
        <v>157</v>
      </c>
      <c r="F148" s="19">
        <f>B3</f>
        <v>3804</v>
      </c>
      <c r="G148" s="19"/>
      <c r="H148" s="19"/>
      <c r="I148" s="19"/>
      <c r="J148" s="19"/>
    </row>
    <row r="149" spans="4:10" ht="31.8" thickBot="1" x14ac:dyDescent="0.35">
      <c r="E149" s="21" t="s">
        <v>158</v>
      </c>
      <c r="F149" s="19">
        <f>B9/4</f>
        <v>922.5</v>
      </c>
      <c r="G149" s="19">
        <f>B9/4</f>
        <v>922.5</v>
      </c>
      <c r="H149" s="19">
        <f>B9/4</f>
        <v>922.5</v>
      </c>
      <c r="I149" s="19">
        <f>B9/4</f>
        <v>922.5</v>
      </c>
      <c r="J149" s="19">
        <f>SUM(F149:I149)</f>
        <v>3690</v>
      </c>
    </row>
    <row r="150" spans="4:10" ht="16.2" thickBot="1" x14ac:dyDescent="0.35">
      <c r="E150" s="21" t="s">
        <v>159</v>
      </c>
      <c r="F150" s="19">
        <f>0.25/4*J149</f>
        <v>230.625</v>
      </c>
      <c r="G150" s="19">
        <f>0.25/4*(J149-F149)</f>
        <v>172.96875</v>
      </c>
      <c r="H150" s="19">
        <f>0.25/4*(J149-F149-G149)</f>
        <v>115.3125</v>
      </c>
      <c r="I150" s="19">
        <f>0.25/4*(J149-F149-G149-H149)</f>
        <v>57.65625</v>
      </c>
      <c r="J150" s="19">
        <f>SUM(F150:I150)</f>
        <v>576.5625</v>
      </c>
    </row>
    <row r="151" spans="4:10" ht="16.2" thickBot="1" x14ac:dyDescent="0.35">
      <c r="E151" s="21" t="s">
        <v>140</v>
      </c>
      <c r="F151" s="29">
        <f>F62</f>
        <v>13886.468168835077</v>
      </c>
      <c r="G151" s="29">
        <f t="shared" ref="G151:J151" si="36">G62</f>
        <v>12324.52</v>
      </c>
      <c r="H151" s="29">
        <f t="shared" si="36"/>
        <v>12686.2</v>
      </c>
      <c r="I151" s="29">
        <f t="shared" si="36"/>
        <v>13168.44</v>
      </c>
      <c r="J151" s="29">
        <f t="shared" si="36"/>
        <v>52065.628168835072</v>
      </c>
    </row>
    <row r="152" spans="4:10" ht="31.8" thickBot="1" x14ac:dyDescent="0.35">
      <c r="E152" s="21" t="s">
        <v>141</v>
      </c>
      <c r="F152" s="23">
        <f>F73</f>
        <v>6467.1120012531237</v>
      </c>
      <c r="G152" s="23">
        <f t="shared" ref="G152:J152" si="37">G73</f>
        <v>5739.723</v>
      </c>
      <c r="H152" s="23">
        <f t="shared" si="37"/>
        <v>5908.1549999999997</v>
      </c>
      <c r="I152" s="23">
        <f t="shared" si="37"/>
        <v>6132.7309999999998</v>
      </c>
      <c r="J152" s="23">
        <f t="shared" si="37"/>
        <v>24247.721001253121</v>
      </c>
    </row>
    <row r="153" spans="4:10" ht="31.8" thickBot="1" x14ac:dyDescent="0.35">
      <c r="E153" s="21" t="s">
        <v>142</v>
      </c>
      <c r="F153" s="19">
        <f>F96</f>
        <v>6567.5536425704486</v>
      </c>
      <c r="G153" s="19">
        <f t="shared" ref="G153:J153" si="38">G96</f>
        <v>6545.434110365024</v>
      </c>
      <c r="H153" s="19">
        <f t="shared" si="38"/>
        <v>6557.4993097498009</v>
      </c>
      <c r="I153" s="19">
        <f t="shared" si="38"/>
        <v>6577.6079753910972</v>
      </c>
      <c r="J153" s="19">
        <f t="shared" si="38"/>
        <v>26248.095038076372</v>
      </c>
    </row>
    <row r="154" spans="4:10" ht="16.2" thickBot="1" x14ac:dyDescent="0.35">
      <c r="E154" s="21" t="s">
        <v>143</v>
      </c>
      <c r="F154" s="6"/>
      <c r="G154" s="19"/>
      <c r="H154" s="19"/>
      <c r="I154" s="6">
        <v>15000</v>
      </c>
      <c r="J154" s="19"/>
    </row>
    <row r="155" spans="4:10" ht="31.8" thickBot="1" x14ac:dyDescent="0.35">
      <c r="D155" t="s">
        <v>156</v>
      </c>
      <c r="E155" s="21" t="s">
        <v>153</v>
      </c>
      <c r="F155" s="19">
        <f>0.12*(SUM(E9:E12))</f>
        <v>1884.48</v>
      </c>
      <c r="G155" s="19" t="s">
        <v>105</v>
      </c>
      <c r="H155" s="19" t="s">
        <v>105</v>
      </c>
      <c r="I155" s="19" t="s">
        <v>105</v>
      </c>
      <c r="J155" s="19" t="s">
        <v>105</v>
      </c>
    </row>
    <row r="156" spans="4:10" ht="16.2" thickBot="1" x14ac:dyDescent="0.35">
      <c r="E156" s="21" t="s">
        <v>144</v>
      </c>
      <c r="F156" s="34">
        <f>SUM(F145:F155)</f>
        <v>50936.109261282159</v>
      </c>
      <c r="G156" s="34">
        <f t="shared" ref="G156:I156" si="39">SUM(G145:G155)</f>
        <v>40369.747640393063</v>
      </c>
      <c r="H156" s="34">
        <f t="shared" si="39"/>
        <v>40013.336809749802</v>
      </c>
      <c r="I156" s="34">
        <f t="shared" si="39"/>
        <v>56121.025225391095</v>
      </c>
      <c r="J156" s="34">
        <f t="shared" ref="J156" si="40">SUM(J145:J155)</f>
        <v>106828.00670816455</v>
      </c>
    </row>
    <row r="157" spans="4:10" ht="43.5" customHeight="1" thickBot="1" x14ac:dyDescent="0.35">
      <c r="E157" s="21" t="s">
        <v>145</v>
      </c>
      <c r="F157" s="34">
        <f>F143-F156</f>
        <v>-1232.5532612821626</v>
      </c>
      <c r="G157" s="34">
        <f>G143-G156</f>
        <v>14977.255098324771</v>
      </c>
      <c r="H157" s="34">
        <f>H143-H156</f>
        <v>26249.945488574973</v>
      </c>
      <c r="I157" s="34">
        <f>I143-I156</f>
        <v>25799.053863183879</v>
      </c>
    </row>
    <row r="158" spans="4:10" ht="15.6" x14ac:dyDescent="0.3">
      <c r="E158" s="43" t="s">
        <v>146</v>
      </c>
      <c r="F158" s="111">
        <v>3000</v>
      </c>
      <c r="G158" s="111"/>
      <c r="H158" s="111"/>
      <c r="I158" s="111"/>
      <c r="J158" s="111"/>
    </row>
    <row r="159" spans="4:10" ht="16.2" thickBot="1" x14ac:dyDescent="0.35">
      <c r="E159" s="40" t="s">
        <v>147</v>
      </c>
      <c r="F159" s="112"/>
      <c r="G159" s="112"/>
      <c r="H159" s="112"/>
      <c r="I159" s="112"/>
      <c r="J159" s="112"/>
    </row>
    <row r="160" spans="4:10" ht="16.2" thickBot="1" x14ac:dyDescent="0.35">
      <c r="E160" s="40" t="s">
        <v>148</v>
      </c>
      <c r="F160" s="38"/>
      <c r="G160" s="38">
        <v>3000</v>
      </c>
      <c r="H160" s="38"/>
      <c r="I160" s="38"/>
      <c r="J160" s="38"/>
    </row>
    <row r="161" spans="5:10" ht="16.2" thickBot="1" x14ac:dyDescent="0.35">
      <c r="E161" s="40" t="s">
        <v>149</v>
      </c>
      <c r="F161" s="38"/>
      <c r="G161" s="38">
        <f>0.25/4*F158</f>
        <v>187.5</v>
      </c>
      <c r="H161" s="38"/>
      <c r="I161" s="38"/>
      <c r="J161" s="38"/>
    </row>
    <row r="162" spans="5:10" ht="31.8" thickBot="1" x14ac:dyDescent="0.35">
      <c r="E162" s="40" t="s">
        <v>150</v>
      </c>
      <c r="F162" s="44">
        <f>F157+F158-F160-F161</f>
        <v>1767.4467387178374</v>
      </c>
      <c r="G162" s="44">
        <f t="shared" ref="G162:I162" si="41">G157+G158-G160-G161</f>
        <v>11789.755098324771</v>
      </c>
      <c r="H162" s="44">
        <f t="shared" si="41"/>
        <v>26249.945488574973</v>
      </c>
      <c r="I162" s="44">
        <f t="shared" si="41"/>
        <v>25799.053863183879</v>
      </c>
      <c r="J162" s="44"/>
    </row>
    <row r="163" spans="5:10" ht="31.8" thickBot="1" x14ac:dyDescent="0.35">
      <c r="E163" s="40" t="s">
        <v>151</v>
      </c>
      <c r="F163" s="45">
        <v>1500</v>
      </c>
      <c r="G163" s="46">
        <v>1500</v>
      </c>
      <c r="H163" s="46">
        <v>1500</v>
      </c>
      <c r="I163" s="46">
        <v>1500</v>
      </c>
      <c r="J163" s="38"/>
    </row>
    <row r="164" spans="5:10" x14ac:dyDescent="0.3">
      <c r="E164" s="47"/>
      <c r="F164" s="47"/>
      <c r="G164" s="47"/>
      <c r="H164" s="47"/>
      <c r="I164" s="47"/>
      <c r="J164" s="47"/>
    </row>
    <row r="167" spans="5:10" x14ac:dyDescent="0.3">
      <c r="E167" s="48"/>
    </row>
    <row r="168" spans="5:10" ht="15.6" x14ac:dyDescent="0.3">
      <c r="E168" s="49" t="s">
        <v>165</v>
      </c>
    </row>
    <row r="169" spans="5:10" ht="16.2" thickBot="1" x14ac:dyDescent="0.35">
      <c r="E169" s="49" t="s">
        <v>166</v>
      </c>
    </row>
    <row r="170" spans="5:10" ht="16.2" thickBot="1" x14ac:dyDescent="0.35">
      <c r="E170" s="27" t="s">
        <v>167</v>
      </c>
      <c r="F170" s="50"/>
      <c r="G170" s="51"/>
    </row>
    <row r="171" spans="5:10" ht="16.2" thickBot="1" x14ac:dyDescent="0.35">
      <c r="E171" s="49" t="s">
        <v>168</v>
      </c>
    </row>
    <row r="172" spans="5:10" ht="31.8" thickBot="1" x14ac:dyDescent="0.35">
      <c r="E172" s="52" t="s">
        <v>169</v>
      </c>
      <c r="F172" s="51" t="s">
        <v>170</v>
      </c>
      <c r="G172" s="51" t="s">
        <v>171</v>
      </c>
      <c r="H172" s="51" t="s">
        <v>172</v>
      </c>
    </row>
    <row r="173" spans="5:10" ht="16.2" thickBot="1" x14ac:dyDescent="0.35">
      <c r="E173" s="53">
        <v>1</v>
      </c>
      <c r="F173" s="54">
        <v>2</v>
      </c>
      <c r="G173" s="54">
        <v>3</v>
      </c>
      <c r="H173" s="54">
        <v>4</v>
      </c>
    </row>
    <row r="174" spans="5:10" x14ac:dyDescent="0.3">
      <c r="E174" s="102" t="s">
        <v>173</v>
      </c>
      <c r="F174" s="98">
        <v>2000</v>
      </c>
      <c r="G174" s="102">
        <f>J25</f>
        <v>222960</v>
      </c>
      <c r="H174" s="98"/>
    </row>
    <row r="175" spans="5:10" x14ac:dyDescent="0.3">
      <c r="E175" s="103"/>
      <c r="F175" s="105"/>
      <c r="G175" s="103"/>
      <c r="H175" s="105"/>
    </row>
    <row r="176" spans="5:10" ht="15" thickBot="1" x14ac:dyDescent="0.35">
      <c r="E176" s="104"/>
      <c r="F176" s="99"/>
      <c r="G176" s="104"/>
      <c r="H176" s="99"/>
    </row>
    <row r="177" spans="5:8" ht="31.2" x14ac:dyDescent="0.3">
      <c r="E177" s="55" t="s">
        <v>174</v>
      </c>
      <c r="F177" s="96">
        <v>2050</v>
      </c>
      <c r="G177" s="96">
        <f>(B10+(J23-B10/B44)*J86)*-1</f>
        <v>-133436.52166460379</v>
      </c>
      <c r="H177" s="96" t="s">
        <v>175</v>
      </c>
    </row>
    <row r="178" spans="5:8" ht="16.2" thickBot="1" x14ac:dyDescent="0.35">
      <c r="E178" s="56"/>
      <c r="F178" s="97"/>
      <c r="G178" s="97"/>
      <c r="H178" s="97"/>
    </row>
    <row r="179" spans="5:8" ht="15.6" x14ac:dyDescent="0.3">
      <c r="E179" s="58" t="s">
        <v>176</v>
      </c>
      <c r="F179" s="59"/>
      <c r="G179" s="96">
        <f>G174+G177</f>
        <v>89523.478335396212</v>
      </c>
      <c r="H179" s="96"/>
    </row>
    <row r="180" spans="5:8" ht="16.2" thickBot="1" x14ac:dyDescent="0.35">
      <c r="E180" s="55" t="s">
        <v>177</v>
      </c>
      <c r="F180" s="57">
        <v>2090</v>
      </c>
      <c r="G180" s="97"/>
      <c r="H180" s="97"/>
    </row>
    <row r="181" spans="5:8" ht="16.2" thickBot="1" x14ac:dyDescent="0.35">
      <c r="E181" s="60" t="s">
        <v>178</v>
      </c>
      <c r="F181" s="51">
        <v>2095</v>
      </c>
      <c r="G181" s="51" t="s">
        <v>175</v>
      </c>
      <c r="H181" s="51" t="s">
        <v>175</v>
      </c>
    </row>
    <row r="182" spans="5:8" ht="16.2" thickBot="1" x14ac:dyDescent="0.35">
      <c r="E182" s="61" t="s">
        <v>179</v>
      </c>
      <c r="F182" s="54">
        <v>2120</v>
      </c>
      <c r="G182" s="54"/>
      <c r="H182" s="54"/>
    </row>
    <row r="183" spans="5:8" ht="16.2" thickBot="1" x14ac:dyDescent="0.35">
      <c r="E183" s="61" t="s">
        <v>180</v>
      </c>
      <c r="F183" s="54">
        <v>2130</v>
      </c>
      <c r="G183" s="54">
        <f>J93*-1</f>
        <v>-26480</v>
      </c>
      <c r="H183" s="54" t="s">
        <v>175</v>
      </c>
    </row>
    <row r="184" spans="5:8" ht="16.2" thickBot="1" x14ac:dyDescent="0.35">
      <c r="E184" s="56" t="s">
        <v>181</v>
      </c>
      <c r="F184" s="62">
        <v>2150</v>
      </c>
      <c r="G184" s="62">
        <f>J92*-1</f>
        <v>-1868.0950380763704</v>
      </c>
      <c r="H184" s="62" t="s">
        <v>175</v>
      </c>
    </row>
    <row r="185" spans="5:8" ht="16.2" thickBot="1" x14ac:dyDescent="0.35">
      <c r="E185" s="56" t="s">
        <v>182</v>
      </c>
      <c r="F185" s="62">
        <v>2180</v>
      </c>
      <c r="G185" s="62">
        <f>J116*-1</f>
        <v>-4459.2</v>
      </c>
      <c r="H185" s="62" t="s">
        <v>175</v>
      </c>
    </row>
    <row r="186" spans="5:8" ht="31.2" x14ac:dyDescent="0.3">
      <c r="E186" s="63" t="s">
        <v>183</v>
      </c>
      <c r="F186" s="59"/>
      <c r="G186" s="96">
        <f>G179+G183+G184+G185</f>
        <v>56716.183297319847</v>
      </c>
      <c r="H186" s="98"/>
    </row>
    <row r="187" spans="5:8" ht="16.2" thickBot="1" x14ac:dyDescent="0.35">
      <c r="E187" s="64" t="s">
        <v>177</v>
      </c>
      <c r="F187" s="50">
        <v>2190</v>
      </c>
      <c r="G187" s="97"/>
      <c r="H187" s="99"/>
    </row>
    <row r="188" spans="5:8" ht="16.2" thickBot="1" x14ac:dyDescent="0.35">
      <c r="E188" s="60" t="s">
        <v>178</v>
      </c>
      <c r="F188" s="51">
        <v>2195</v>
      </c>
      <c r="G188" s="51" t="s">
        <v>175</v>
      </c>
      <c r="H188" s="51" t="s">
        <v>175</v>
      </c>
    </row>
    <row r="189" spans="5:8" ht="31.8" thickBot="1" x14ac:dyDescent="0.35">
      <c r="E189" s="61" t="s">
        <v>184</v>
      </c>
      <c r="F189" s="54">
        <v>2200</v>
      </c>
      <c r="G189" s="54"/>
      <c r="H189" s="54"/>
    </row>
    <row r="190" spans="5:8" ht="15.6" x14ac:dyDescent="0.3">
      <c r="E190" s="102" t="s">
        <v>185</v>
      </c>
      <c r="F190" s="98">
        <v>2220</v>
      </c>
      <c r="G190" s="65" t="s">
        <v>156</v>
      </c>
      <c r="H190" s="98"/>
    </row>
    <row r="191" spans="5:8" x14ac:dyDescent="0.3">
      <c r="E191" s="103"/>
      <c r="F191" s="105"/>
      <c r="G191" s="66">
        <f>J141</f>
        <v>84.801600000000008</v>
      </c>
      <c r="H191" s="105"/>
    </row>
    <row r="192" spans="5:8" ht="16.2" thickBot="1" x14ac:dyDescent="0.35">
      <c r="E192" s="104"/>
      <c r="F192" s="99"/>
      <c r="G192" s="67"/>
      <c r="H192" s="99"/>
    </row>
    <row r="193" spans="5:8" ht="31.8" thickBot="1" x14ac:dyDescent="0.35">
      <c r="E193" s="61" t="s">
        <v>186</v>
      </c>
      <c r="F193" s="54">
        <v>2240</v>
      </c>
      <c r="G193" s="68">
        <f>H142</f>
        <v>829.17120000000011</v>
      </c>
      <c r="H193" s="54"/>
    </row>
    <row r="194" spans="5:8" ht="15.6" x14ac:dyDescent="0.3">
      <c r="E194" s="100" t="s">
        <v>187</v>
      </c>
      <c r="F194" s="96">
        <v>2250</v>
      </c>
      <c r="G194" s="57">
        <f>(J150+G161)*-1</f>
        <v>-764.0625</v>
      </c>
      <c r="H194" s="96" t="s">
        <v>175</v>
      </c>
    </row>
    <row r="195" spans="5:8" ht="15" thickBot="1" x14ac:dyDescent="0.35">
      <c r="E195" s="101"/>
      <c r="F195" s="97"/>
      <c r="G195" s="68"/>
      <c r="H195" s="97"/>
    </row>
    <row r="196" spans="5:8" ht="31.8" thickBot="1" x14ac:dyDescent="0.35">
      <c r="E196" s="61" t="s">
        <v>188</v>
      </c>
      <c r="F196" s="54">
        <v>2255</v>
      </c>
      <c r="G196" s="54" t="s">
        <v>175</v>
      </c>
      <c r="H196" s="54" t="s">
        <v>175</v>
      </c>
    </row>
    <row r="197" spans="5:8" ht="31.2" x14ac:dyDescent="0.3">
      <c r="E197" s="55" t="s">
        <v>189</v>
      </c>
      <c r="F197" s="96">
        <v>2270</v>
      </c>
      <c r="G197" s="96">
        <f>F155*0.4*-1</f>
        <v>-753.79200000000003</v>
      </c>
      <c r="H197" s="96" t="s">
        <v>175</v>
      </c>
    </row>
    <row r="198" spans="5:8" ht="15" thickBot="1" x14ac:dyDescent="0.35">
      <c r="E198" s="69" t="s">
        <v>190</v>
      </c>
      <c r="F198" s="97"/>
      <c r="G198" s="97"/>
      <c r="H198" s="97"/>
    </row>
    <row r="199" spans="5:8" ht="15.6" x14ac:dyDescent="0.3">
      <c r="E199" s="70" t="s">
        <v>191</v>
      </c>
      <c r="F199" s="59"/>
      <c r="G199" s="96">
        <f>G186+G191+G193+G194+G197</f>
        <v>56112.301597319842</v>
      </c>
      <c r="H199" s="98"/>
    </row>
    <row r="200" spans="5:8" ht="16.2" thickBot="1" x14ac:dyDescent="0.35">
      <c r="E200" s="64" t="s">
        <v>177</v>
      </c>
      <c r="F200" s="50">
        <v>2290</v>
      </c>
      <c r="G200" s="97"/>
      <c r="H200" s="99"/>
    </row>
    <row r="201" spans="5:8" ht="16.2" thickBot="1" x14ac:dyDescent="0.35">
      <c r="E201" s="60" t="s">
        <v>178</v>
      </c>
      <c r="F201" s="51">
        <v>2295</v>
      </c>
      <c r="G201" s="71" t="s">
        <v>175</v>
      </c>
      <c r="H201" s="51" t="s">
        <v>175</v>
      </c>
    </row>
    <row r="202" spans="5:8" ht="16.2" thickBot="1" x14ac:dyDescent="0.35">
      <c r="E202" s="61" t="s">
        <v>192</v>
      </c>
      <c r="F202" s="54">
        <v>2300</v>
      </c>
      <c r="G202" s="62">
        <f>G199*0.25*-1</f>
        <v>-14028.07539932996</v>
      </c>
      <c r="H202" s="54"/>
    </row>
    <row r="203" spans="5:8" ht="31.8" thickBot="1" x14ac:dyDescent="0.35">
      <c r="E203" s="61" t="s">
        <v>193</v>
      </c>
      <c r="F203" s="54">
        <v>2305</v>
      </c>
      <c r="G203" s="62"/>
      <c r="H203" s="54"/>
    </row>
    <row r="204" spans="5:8" ht="15.6" x14ac:dyDescent="0.3">
      <c r="E204" s="63" t="s">
        <v>194</v>
      </c>
      <c r="F204" s="59"/>
      <c r="G204" s="96">
        <f>G199+G202</f>
        <v>42084.226197989883</v>
      </c>
      <c r="H204" s="98"/>
    </row>
    <row r="205" spans="5:8" ht="16.2" thickBot="1" x14ac:dyDescent="0.35">
      <c r="E205" s="64" t="s">
        <v>177</v>
      </c>
      <c r="F205" s="50">
        <v>2350</v>
      </c>
      <c r="G205" s="97"/>
      <c r="H205" s="99"/>
    </row>
    <row r="206" spans="5:8" ht="31.8" thickBot="1" x14ac:dyDescent="0.35">
      <c r="E206" s="72" t="s">
        <v>195</v>
      </c>
      <c r="F206" s="73"/>
      <c r="G206" s="74">
        <f>G204</f>
        <v>42084.226197989883</v>
      </c>
      <c r="H206" s="73"/>
    </row>
    <row r="207" spans="5:8" ht="16.2" thickBot="1" x14ac:dyDescent="0.35">
      <c r="E207" s="60" t="s">
        <v>178</v>
      </c>
      <c r="F207" s="51">
        <v>2355</v>
      </c>
      <c r="G207" s="51" t="s">
        <v>175</v>
      </c>
      <c r="H207" s="51" t="s">
        <v>175</v>
      </c>
    </row>
    <row r="209" spans="5:8" ht="15" thickBot="1" x14ac:dyDescent="0.35"/>
    <row r="210" spans="5:8" ht="31.8" thickBot="1" x14ac:dyDescent="0.35">
      <c r="E210" s="75" t="s">
        <v>43</v>
      </c>
      <c r="F210" s="37" t="s">
        <v>196</v>
      </c>
      <c r="G210" s="76" t="s">
        <v>197</v>
      </c>
      <c r="H210" s="37" t="s">
        <v>196</v>
      </c>
    </row>
    <row r="211" spans="5:8" ht="16.2" thickBot="1" x14ac:dyDescent="0.35">
      <c r="E211" s="21" t="s">
        <v>198</v>
      </c>
      <c r="F211" s="20"/>
      <c r="G211" s="20" t="s">
        <v>199</v>
      </c>
      <c r="H211" s="20"/>
    </row>
    <row r="212" spans="5:8" ht="16.2" thickBot="1" x14ac:dyDescent="0.35">
      <c r="E212" s="21" t="s">
        <v>200</v>
      </c>
      <c r="F212" s="20">
        <f>B11</f>
        <v>12290</v>
      </c>
      <c r="G212" s="20" t="s">
        <v>201</v>
      </c>
      <c r="H212" s="20">
        <f>B4</f>
        <v>25000</v>
      </c>
    </row>
    <row r="213" spans="5:8" ht="31.2" x14ac:dyDescent="0.3">
      <c r="E213" s="89" t="s">
        <v>202</v>
      </c>
      <c r="F213" s="77" t="s">
        <v>203</v>
      </c>
      <c r="G213" s="89" t="s">
        <v>204</v>
      </c>
      <c r="H213" s="77" t="s">
        <v>205</v>
      </c>
    </row>
    <row r="214" spans="5:8" ht="31.2" x14ac:dyDescent="0.3">
      <c r="E214" s="94"/>
      <c r="F214" s="77"/>
      <c r="G214" s="94"/>
      <c r="H214" s="79" t="s">
        <v>206</v>
      </c>
    </row>
    <row r="215" spans="5:8" ht="15.6" x14ac:dyDescent="0.3">
      <c r="E215" s="94"/>
      <c r="F215" s="77">
        <f>B14+B37</f>
        <v>46600</v>
      </c>
      <c r="G215" s="94"/>
      <c r="H215" s="77"/>
    </row>
    <row r="216" spans="5:8" ht="16.2" thickBot="1" x14ac:dyDescent="0.35">
      <c r="E216" s="90"/>
      <c r="F216" s="78"/>
      <c r="G216" s="90"/>
      <c r="H216" s="20">
        <f>B8+G206</f>
        <v>53984.226197989883</v>
      </c>
    </row>
    <row r="217" spans="5:8" ht="62.4" x14ac:dyDescent="0.3">
      <c r="E217" s="89" t="s">
        <v>207</v>
      </c>
      <c r="F217" s="80" t="s">
        <v>208</v>
      </c>
      <c r="G217" s="89"/>
      <c r="H217" s="89"/>
    </row>
    <row r="218" spans="5:8" ht="31.2" x14ac:dyDescent="0.3">
      <c r="E218" s="94"/>
      <c r="F218" s="80" t="s">
        <v>209</v>
      </c>
      <c r="G218" s="94"/>
      <c r="H218" s="94"/>
    </row>
    <row r="219" spans="5:8" ht="16.2" thickBot="1" x14ac:dyDescent="0.35">
      <c r="E219" s="90"/>
      <c r="F219" s="81">
        <f>(B13+J72+J95)*-1</f>
        <v>-14148</v>
      </c>
      <c r="G219" s="90"/>
      <c r="H219" s="90"/>
    </row>
    <row r="220" spans="5:8" ht="16.2" thickBot="1" x14ac:dyDescent="0.35">
      <c r="E220" s="82" t="s">
        <v>210</v>
      </c>
      <c r="F220" s="81">
        <f>F212+F215+F219</f>
        <v>44742</v>
      </c>
      <c r="G220" s="83" t="s">
        <v>211</v>
      </c>
      <c r="H220" s="81">
        <f>H216+H212</f>
        <v>78984.22619798989</v>
      </c>
    </row>
    <row r="221" spans="5:8" ht="16.2" thickBot="1" x14ac:dyDescent="0.35">
      <c r="E221" s="21" t="s">
        <v>212</v>
      </c>
      <c r="F221" s="20"/>
      <c r="G221" s="20" t="s">
        <v>213</v>
      </c>
      <c r="H221" s="20"/>
    </row>
    <row r="222" spans="5:8" ht="78" x14ac:dyDescent="0.3">
      <c r="E222" s="43" t="s">
        <v>214</v>
      </c>
      <c r="F222" s="80" t="s">
        <v>215</v>
      </c>
      <c r="G222" s="89" t="s">
        <v>217</v>
      </c>
      <c r="H222" s="77" t="s">
        <v>218</v>
      </c>
    </row>
    <row r="223" spans="5:8" ht="31.2" x14ac:dyDescent="0.3">
      <c r="E223" s="43"/>
      <c r="F223" s="80" t="s">
        <v>216</v>
      </c>
      <c r="G223" s="94"/>
      <c r="H223" s="77"/>
    </row>
    <row r="224" spans="5:8" ht="16.2" thickBot="1" x14ac:dyDescent="0.35">
      <c r="E224" s="40"/>
      <c r="F224" s="81">
        <f>I32*J86</f>
        <v>5213.8897341359561</v>
      </c>
      <c r="G224" s="90"/>
      <c r="H224" s="20">
        <f>I130</f>
        <v>5046.9299999999994</v>
      </c>
    </row>
    <row r="225" spans="5:8" ht="61.8" customHeight="1" x14ac:dyDescent="0.3">
      <c r="E225" s="43" t="s">
        <v>219</v>
      </c>
      <c r="F225" s="89">
        <f>I45*I49</f>
        <v>2164.5</v>
      </c>
      <c r="G225" s="89" t="s">
        <v>221</v>
      </c>
      <c r="H225" s="77" t="s">
        <v>222</v>
      </c>
    </row>
    <row r="226" spans="5:8" ht="15.6" x14ac:dyDescent="0.3">
      <c r="E226" s="84" t="s">
        <v>220</v>
      </c>
      <c r="F226" s="94"/>
      <c r="G226" s="94"/>
      <c r="H226" s="77"/>
    </row>
    <row r="227" spans="5:8" ht="16.2" thickBot="1" x14ac:dyDescent="0.35">
      <c r="E227" s="40"/>
      <c r="F227" s="90"/>
      <c r="G227" s="90"/>
      <c r="H227" s="85">
        <f>G202*-1</f>
        <v>14028.07539932996</v>
      </c>
    </row>
    <row r="228" spans="5:8" ht="62.4" x14ac:dyDescent="0.3">
      <c r="E228" s="89" t="s">
        <v>223</v>
      </c>
      <c r="F228" s="95">
        <f>I110</f>
        <v>19008</v>
      </c>
      <c r="G228" s="89" t="s">
        <v>224</v>
      </c>
      <c r="H228" s="77" t="s">
        <v>225</v>
      </c>
    </row>
    <row r="229" spans="5:8" ht="15.6" x14ac:dyDescent="0.3">
      <c r="E229" s="94"/>
      <c r="F229" s="94"/>
      <c r="G229" s="94"/>
      <c r="H229" s="77"/>
    </row>
    <row r="230" spans="5:8" ht="16.2" thickBot="1" x14ac:dyDescent="0.35">
      <c r="E230" s="90"/>
      <c r="F230" s="90"/>
      <c r="G230" s="90"/>
      <c r="H230" s="20">
        <v>0</v>
      </c>
    </row>
    <row r="231" spans="5:8" ht="15.6" x14ac:dyDescent="0.3">
      <c r="E231" s="89" t="s">
        <v>226</v>
      </c>
      <c r="F231" s="77" t="s">
        <v>227</v>
      </c>
      <c r="G231" s="89"/>
      <c r="H231" s="89"/>
    </row>
    <row r="232" spans="5:8" ht="16.2" thickBot="1" x14ac:dyDescent="0.35">
      <c r="E232" s="90"/>
      <c r="F232" s="20">
        <f>F155*0.6</f>
        <v>1130.6879999999999</v>
      </c>
      <c r="G232" s="90"/>
      <c r="H232" s="90"/>
    </row>
    <row r="233" spans="5:8" ht="15.6" x14ac:dyDescent="0.3">
      <c r="E233" s="91" t="s">
        <v>228</v>
      </c>
      <c r="F233" s="80" t="s">
        <v>129</v>
      </c>
      <c r="G233" s="89"/>
      <c r="H233" s="89"/>
    </row>
    <row r="234" spans="5:8" x14ac:dyDescent="0.3">
      <c r="E234" s="92"/>
      <c r="F234" s="86">
        <f>I162</f>
        <v>25799.053863183879</v>
      </c>
      <c r="G234" s="94"/>
      <c r="H234" s="94"/>
    </row>
    <row r="235" spans="5:8" ht="16.2" thickBot="1" x14ac:dyDescent="0.35">
      <c r="E235" s="93"/>
      <c r="F235" s="81"/>
      <c r="G235" s="90"/>
      <c r="H235" s="90"/>
    </row>
    <row r="236" spans="5:8" ht="31.8" thickBot="1" x14ac:dyDescent="0.35">
      <c r="E236" s="82" t="s">
        <v>229</v>
      </c>
      <c r="F236" s="87">
        <f>F224+F225+F228+F232+F234</f>
        <v>53316.131597319836</v>
      </c>
      <c r="G236" s="83" t="s">
        <v>230</v>
      </c>
      <c r="H236" s="81">
        <f>H224+H227</f>
        <v>19075.005399329959</v>
      </c>
    </row>
    <row r="237" spans="5:8" ht="16.2" thickBot="1" x14ac:dyDescent="0.35">
      <c r="E237" s="82" t="s">
        <v>231</v>
      </c>
      <c r="F237" s="88">
        <f>F236+F220</f>
        <v>98058.131597319836</v>
      </c>
      <c r="G237" s="83" t="s">
        <v>231</v>
      </c>
      <c r="H237" s="20">
        <f>H220+H236</f>
        <v>98059.231597319857</v>
      </c>
    </row>
    <row r="240" spans="5:8" ht="15.6" x14ac:dyDescent="0.3">
      <c r="E240" s="122" t="s">
        <v>232</v>
      </c>
    </row>
    <row r="241" spans="5:11" ht="16.2" thickBot="1" x14ac:dyDescent="0.35">
      <c r="E241" s="18" t="s">
        <v>233</v>
      </c>
    </row>
    <row r="242" spans="5:11" ht="16.2" thickBot="1" x14ac:dyDescent="0.35">
      <c r="E242" s="123" t="s">
        <v>67</v>
      </c>
      <c r="F242" s="37" t="s">
        <v>234</v>
      </c>
    </row>
    <row r="243" spans="5:11" ht="16.2" thickBot="1" x14ac:dyDescent="0.35">
      <c r="E243" s="21" t="s">
        <v>235</v>
      </c>
      <c r="F243" s="19">
        <v>222960</v>
      </c>
    </row>
    <row r="244" spans="5:11" ht="16.2" thickBot="1" x14ac:dyDescent="0.35">
      <c r="E244" s="21" t="s">
        <v>236</v>
      </c>
      <c r="G244" s="19">
        <v>28.064</v>
      </c>
    </row>
    <row r="245" spans="5:11" ht="78.599999999999994" thickBot="1" x14ac:dyDescent="0.35">
      <c r="E245" s="21" t="s">
        <v>237</v>
      </c>
      <c r="F245" s="19" t="s">
        <v>238</v>
      </c>
      <c r="G245">
        <f>(J85-J83)/J35*J23</f>
        <v>130357.28000000001</v>
      </c>
    </row>
    <row r="246" spans="5:11" ht="16.2" thickBot="1" x14ac:dyDescent="0.35">
      <c r="E246" s="21" t="s">
        <v>239</v>
      </c>
      <c r="F246" s="19">
        <f>J92</f>
        <v>1868.0950380763704</v>
      </c>
      <c r="J246" t="s">
        <v>252</v>
      </c>
      <c r="K246">
        <v>136684.57999999999</v>
      </c>
    </row>
    <row r="247" spans="5:11" ht="16.2" thickBot="1" x14ac:dyDescent="0.35">
      <c r="E247" s="21" t="s">
        <v>240</v>
      </c>
      <c r="F247" s="23">
        <f>SUM(F116:I116)</f>
        <v>4459.2</v>
      </c>
      <c r="J247" t="s">
        <v>251</v>
      </c>
      <c r="K247">
        <v>29628</v>
      </c>
    </row>
    <row r="248" spans="5:11" ht="16.2" thickBot="1" x14ac:dyDescent="0.35">
      <c r="E248" s="21" t="s">
        <v>241</v>
      </c>
      <c r="F248" s="23">
        <f>G245+F246+F247</f>
        <v>136684.57503807641</v>
      </c>
      <c r="J248" t="s">
        <v>250</v>
      </c>
      <c r="K248">
        <v>48</v>
      </c>
    </row>
    <row r="249" spans="5:11" ht="16.2" thickBot="1" x14ac:dyDescent="0.35">
      <c r="E249" s="21" t="s">
        <v>242</v>
      </c>
      <c r="F249" s="23">
        <f>F243-F248</f>
        <v>86275.424961923592</v>
      </c>
      <c r="J249" t="s">
        <v>253</v>
      </c>
      <c r="K249">
        <v>4740.51</v>
      </c>
    </row>
    <row r="250" spans="5:11" ht="16.2" thickBot="1" x14ac:dyDescent="0.35">
      <c r="E250" s="21" t="s">
        <v>243</v>
      </c>
      <c r="F250" s="19"/>
    </row>
    <row r="251" spans="5:11" ht="16.2" thickBot="1" x14ac:dyDescent="0.35">
      <c r="E251" s="21" t="s">
        <v>244</v>
      </c>
      <c r="F251" s="19">
        <f>J83</f>
        <v>3148</v>
      </c>
    </row>
    <row r="252" spans="5:11" ht="16.2" thickBot="1" x14ac:dyDescent="0.35">
      <c r="E252" s="21" t="s">
        <v>245</v>
      </c>
      <c r="F252" s="19" t="s">
        <v>105</v>
      </c>
      <c r="H252" t="s">
        <v>249</v>
      </c>
      <c r="I252">
        <f>((29628+(136684.58/4750.51))/48)</f>
        <v>617.84942941214024</v>
      </c>
    </row>
    <row r="253" spans="5:11" ht="16.2" thickBot="1" x14ac:dyDescent="0.35">
      <c r="E253" s="21" t="s">
        <v>246</v>
      </c>
      <c r="F253" s="19">
        <f>J93</f>
        <v>26480</v>
      </c>
    </row>
    <row r="254" spans="5:11" ht="16.2" thickBot="1" x14ac:dyDescent="0.35">
      <c r="E254" s="21" t="s">
        <v>247</v>
      </c>
      <c r="F254" s="19">
        <f>F251+F253</f>
        <v>29628</v>
      </c>
    </row>
    <row r="255" spans="5:11" ht="16.2" thickBot="1" x14ac:dyDescent="0.35">
      <c r="E255" s="21" t="s">
        <v>248</v>
      </c>
      <c r="F255" s="23">
        <f>F249-F254</f>
        <v>56647.424961923592</v>
      </c>
    </row>
    <row r="256" spans="5:11" ht="15.6" x14ac:dyDescent="0.3">
      <c r="E256" s="122"/>
    </row>
    <row r="257" spans="5:5" x14ac:dyDescent="0.3">
      <c r="E257" s="48"/>
    </row>
  </sheetData>
  <mergeCells count="101">
    <mergeCell ref="E65:E66"/>
    <mergeCell ref="F65:I65"/>
    <mergeCell ref="J65:J66"/>
    <mergeCell ref="E64:F64"/>
    <mergeCell ref="E77:E78"/>
    <mergeCell ref="F77:I77"/>
    <mergeCell ref="J77:J78"/>
    <mergeCell ref="E76:F76"/>
    <mergeCell ref="L25:L26"/>
    <mergeCell ref="E21:E22"/>
    <mergeCell ref="F21:I21"/>
    <mergeCell ref="J21:J22"/>
    <mergeCell ref="K21:L21"/>
    <mergeCell ref="F25:F26"/>
    <mergeCell ref="G25:G26"/>
    <mergeCell ref="H25:H26"/>
    <mergeCell ref="I25:I26"/>
    <mergeCell ref="J25:J26"/>
    <mergeCell ref="K25:K26"/>
    <mergeCell ref="J29:J30"/>
    <mergeCell ref="K29:L29"/>
    <mergeCell ref="E40:E41"/>
    <mergeCell ref="F40:I40"/>
    <mergeCell ref="J40:J41"/>
    <mergeCell ref="K40:L40"/>
    <mergeCell ref="E55:E56"/>
    <mergeCell ref="F55:I55"/>
    <mergeCell ref="J55:J56"/>
    <mergeCell ref="E29:E30"/>
    <mergeCell ref="F29:I29"/>
    <mergeCell ref="E114:E115"/>
    <mergeCell ref="F114:I114"/>
    <mergeCell ref="J114:J115"/>
    <mergeCell ref="F103:F104"/>
    <mergeCell ref="G103:G104"/>
    <mergeCell ref="H103:H104"/>
    <mergeCell ref="I103:I104"/>
    <mergeCell ref="J103:J104"/>
    <mergeCell ref="E90:E91"/>
    <mergeCell ref="F90:I90"/>
    <mergeCell ref="J90:J91"/>
    <mergeCell ref="E100:E101"/>
    <mergeCell ref="F100:I100"/>
    <mergeCell ref="J100:J101"/>
    <mergeCell ref="J134:J135"/>
    <mergeCell ref="F158:F159"/>
    <mergeCell ref="G158:G159"/>
    <mergeCell ref="H158:H159"/>
    <mergeCell ref="I158:I159"/>
    <mergeCell ref="J158:J159"/>
    <mergeCell ref="E120:E121"/>
    <mergeCell ref="F120:I120"/>
    <mergeCell ref="J120:J121"/>
    <mergeCell ref="F123:F124"/>
    <mergeCell ref="G123:G124"/>
    <mergeCell ref="H123:H124"/>
    <mergeCell ref="I123:I124"/>
    <mergeCell ref="J123:J124"/>
    <mergeCell ref="E174:E176"/>
    <mergeCell ref="F174:F176"/>
    <mergeCell ref="G174:G176"/>
    <mergeCell ref="H174:H176"/>
    <mergeCell ref="F177:F178"/>
    <mergeCell ref="G177:G178"/>
    <mergeCell ref="H177:H178"/>
    <mergeCell ref="E134:E135"/>
    <mergeCell ref="F134:I134"/>
    <mergeCell ref="E194:E195"/>
    <mergeCell ref="F194:F195"/>
    <mergeCell ref="H194:H195"/>
    <mergeCell ref="F197:F198"/>
    <mergeCell ref="G197:G198"/>
    <mergeCell ref="H197:H198"/>
    <mergeCell ref="G179:G180"/>
    <mergeCell ref="H179:H180"/>
    <mergeCell ref="G186:G187"/>
    <mergeCell ref="H186:H187"/>
    <mergeCell ref="E190:E192"/>
    <mergeCell ref="F190:F192"/>
    <mergeCell ref="H190:H192"/>
    <mergeCell ref="E217:E219"/>
    <mergeCell ref="G217:G219"/>
    <mergeCell ref="H217:H219"/>
    <mergeCell ref="G222:G224"/>
    <mergeCell ref="F225:F227"/>
    <mergeCell ref="G225:G227"/>
    <mergeCell ref="G199:G200"/>
    <mergeCell ref="H199:H200"/>
    <mergeCell ref="G204:G205"/>
    <mergeCell ref="H204:H205"/>
    <mergeCell ref="E213:E216"/>
    <mergeCell ref="G213:G216"/>
    <mergeCell ref="H231:H232"/>
    <mergeCell ref="E233:E235"/>
    <mergeCell ref="G233:G235"/>
    <mergeCell ref="H233:H235"/>
    <mergeCell ref="E228:E230"/>
    <mergeCell ref="F228:F230"/>
    <mergeCell ref="G228:G230"/>
    <mergeCell ref="E231:E232"/>
    <mergeCell ref="G231:G2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Nacho Polo</cp:lastModifiedBy>
  <dcterms:created xsi:type="dcterms:W3CDTF">2023-10-03T09:47:59Z</dcterms:created>
  <dcterms:modified xsi:type="dcterms:W3CDTF">2023-12-12T11:34:22Z</dcterms:modified>
</cp:coreProperties>
</file>