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1"/>
  </bookViews>
  <sheets>
    <sheet name="data" sheetId="1" r:id="rId1"/>
    <sheet name="List1" sheetId="2" r:id="rId2"/>
  </sheets>
  <definedNames>
    <definedName name="_xlnm.Print_Area" localSheetId="0">'data'!$A$1:$AE$44</definedName>
  </definedNames>
  <calcPr fullCalcOnLoad="1"/>
</workbook>
</file>

<file path=xl/sharedStrings.xml><?xml version="1.0" encoding="utf-8"?>
<sst xmlns="http://schemas.openxmlformats.org/spreadsheetml/2006/main" count="445" uniqueCount="245">
  <si>
    <t xml:space="preserve">Current income tax liabilities, hrn. </t>
  </si>
  <si>
    <t>Simple shares, грн.</t>
  </si>
  <si>
    <t xml:space="preserve">Accounts receivable, hrn. </t>
  </si>
  <si>
    <t>Cash and cash equivalents, hrn.</t>
  </si>
  <si>
    <t xml:space="preserve">Retained earnings, hrn. </t>
  </si>
  <si>
    <t xml:space="preserve">Short-term bank credit, hrn. </t>
  </si>
  <si>
    <t>Buildings (original value), hrn.</t>
  </si>
  <si>
    <t>Accounts payable, hrn.</t>
  </si>
  <si>
    <t xml:space="preserve">Accumulated depreciation, hrn. </t>
  </si>
  <si>
    <t>Equipment (original value), hrn.</t>
  </si>
  <si>
    <t>% of sales in the previous quarter</t>
  </si>
  <si>
    <t>Raw materials inventories, hrn.</t>
  </si>
  <si>
    <t xml:space="preserve">Raw materials inventories at the end of the period, % </t>
  </si>
  <si>
    <t xml:space="preserve">Payment for raw materials: % of purchases in the quarter </t>
  </si>
  <si>
    <t>% in the next quarter</t>
  </si>
  <si>
    <t>Price of the raw materials unit, hrn.</t>
  </si>
  <si>
    <t>Office rent for a year, hrn.</t>
  </si>
  <si>
    <t>Raw material requirements per unit of finished goods, kg</t>
  </si>
  <si>
    <t>Entertainment expenses for a quarter, hrn.</t>
  </si>
  <si>
    <t>The cost per hour of direct labor costs, hrn.</t>
  </si>
  <si>
    <t>Depreciation of equipment in the quarter, hrn.</t>
  </si>
  <si>
    <t>Depreciation of administrative tangible assets in the quarter, hrn.</t>
  </si>
  <si>
    <t>General production costs, % in the quarter</t>
  </si>
  <si>
    <t>Quarterly % of sales expenses</t>
  </si>
  <si>
    <t xml:space="preserve">% of the spoilage costs </t>
  </si>
  <si>
    <t>The minimum cash balance at the end of the quarter, hrn.</t>
  </si>
  <si>
    <t>Salary fund of the administrative staff for the quarter, hrn.</t>
  </si>
  <si>
    <t xml:space="preserve">Heating, lighting of the administrative offices for the year, hrn. </t>
  </si>
  <si>
    <t xml:space="preserve">Share of short-term financial investments,% </t>
  </si>
  <si>
    <t>Annual % of the loan</t>
  </si>
  <si>
    <t xml:space="preserve">Purchase of equipment in the IV quarter, hrn. </t>
  </si>
  <si>
    <t xml:space="preserve">Income tax, % </t>
  </si>
  <si>
    <t xml:space="preserve">Sale price, hrn. </t>
  </si>
  <si>
    <t>2 quarter</t>
  </si>
  <si>
    <t>3 quarter</t>
  </si>
  <si>
    <t>4 quarter</t>
  </si>
  <si>
    <t>Variant</t>
  </si>
  <si>
    <t>Payment of accounts receivable: % of sales in the current quarter</t>
  </si>
  <si>
    <t>Direct labour costs per unit of finished goods, hours</t>
  </si>
  <si>
    <t>Finished products, hrn.</t>
  </si>
  <si>
    <t>Finished products inventories at the end of the period, %</t>
  </si>
  <si>
    <t>Sale of finished products, units: 1 quarter</t>
  </si>
  <si>
    <t>Cost of finished products unit in the past year, hrn.</t>
  </si>
  <si>
    <t>Liabilities</t>
  </si>
  <si>
    <t>Assets</t>
  </si>
  <si>
    <t>Equity</t>
  </si>
  <si>
    <t>Liability</t>
  </si>
  <si>
    <t>Liabilites</t>
  </si>
  <si>
    <t>Assets -</t>
  </si>
  <si>
    <t>Fixed assets</t>
  </si>
  <si>
    <t>Current assets</t>
  </si>
  <si>
    <t>Equity+iabilities</t>
  </si>
  <si>
    <t>Total</t>
  </si>
  <si>
    <t xml:space="preserve">Indicator </t>
  </si>
  <si>
    <t>Quarters</t>
  </si>
  <si>
    <t>Annual sale</t>
  </si>
  <si>
    <t>І</t>
  </si>
  <si>
    <t>ІІ</t>
  </si>
  <si>
    <t>ІІІ</t>
  </si>
  <si>
    <t>ІV</t>
  </si>
  <si>
    <t>1. Sale of finished products, units</t>
  </si>
  <si>
    <t>2. Sale price, CZK.</t>
  </si>
  <si>
    <t xml:space="preserve">3. Revenue </t>
  </si>
  <si>
    <t>(row 1 * row 2), CZK.</t>
  </si>
  <si>
    <t>Indicator</t>
  </si>
  <si>
    <t>For the year</t>
  </si>
  <si>
    <t>2. Finished products inventories at the end of the period, units</t>
  </si>
  <si>
    <t>3. Total need for the finished products, units (row  1+ row 2)</t>
  </si>
  <si>
    <t xml:space="preserve">4. Finished products inventories at the beginning of the period, units </t>
  </si>
  <si>
    <t>5. The required output of finished products, units (row 3 – row 4)</t>
  </si>
  <si>
    <t>inventory</t>
  </si>
  <si>
    <t>1. The required output of finished products, units</t>
  </si>
  <si>
    <t>2. Raw material requirements per unit of finished goods, kg</t>
  </si>
  <si>
    <t>3. Need for materials for the finished goods production, kg (row 1* row 2)</t>
  </si>
  <si>
    <t xml:space="preserve">4. Raw materials inventories at the end of the period, kg </t>
  </si>
  <si>
    <t>5. Total need for materials for the finished goods production, kg (row 3 + row 4)</t>
  </si>
  <si>
    <t xml:space="preserve">6. Raw materials inventories at the beginning of the period, kg </t>
  </si>
  <si>
    <t>7. Volume of the necessary raw materials purchase in the period, kg (row 5 – row 6)</t>
  </si>
  <si>
    <t xml:space="preserve">8. Price of the raw materials unit, CZK. </t>
  </si>
  <si>
    <t>9. Costs of the raw materials purchase, CZK. (row 7*row 8)</t>
  </si>
  <si>
    <t>4kg</t>
  </si>
  <si>
    <t>at the beginning</t>
  </si>
  <si>
    <t>at the end</t>
  </si>
  <si>
    <t xml:space="preserve">Sales budget </t>
  </si>
  <si>
    <t>Production budget</t>
  </si>
  <si>
    <t xml:space="preserve">Budget of the direct costs for materials </t>
  </si>
  <si>
    <t xml:space="preserve">2. Direct labour costs per unit of finished goods, hours </t>
  </si>
  <si>
    <t xml:space="preserve">3. Total number of hours required for the finished products output, hours (row 1*row 2) </t>
  </si>
  <si>
    <t>4. The cost per hour of direct labour costs, CZK.</t>
  </si>
  <si>
    <t>5. Single social contribution (37%), CZK.</t>
  </si>
  <si>
    <t>6. Total direct labour costs, CZK. (row 3* row 4+ row 5)</t>
  </si>
  <si>
    <t>37/100*row*row3</t>
  </si>
  <si>
    <t>1. Other direct costs:</t>
  </si>
  <si>
    <t>1.1. Spoilage costs</t>
  </si>
  <si>
    <t>1.2. Depreciation of equipment</t>
  </si>
  <si>
    <t>2. General production costs</t>
  </si>
  <si>
    <t>3. Total (row 1+ row 2)</t>
  </si>
  <si>
    <t>4. Depreciation of equipment</t>
  </si>
  <si>
    <t>5. Cash outflow for the other direct and general production costs (row 3- row 4)</t>
  </si>
  <si>
    <t>/</t>
  </si>
  <si>
    <t>1,5/100*table3 row 5*row4</t>
  </si>
  <si>
    <t>65/100*table 4 row 3*4</t>
  </si>
  <si>
    <t>1. Total direct costs for materials</t>
  </si>
  <si>
    <t>2. Total direct labour costs</t>
  </si>
  <si>
    <t>3. Other direct costs:</t>
  </si>
  <si>
    <t>3.1. Spoilage costs</t>
  </si>
  <si>
    <t>3.2. Depreciation of equipment</t>
  </si>
  <si>
    <t>4. General production costs</t>
  </si>
  <si>
    <t>5. Cost of finished products (row 1+ row 2+ row 3.1+ row 3.2+ row 4)</t>
  </si>
  <si>
    <t>table 3 row 3*row 7</t>
  </si>
  <si>
    <t>6.Cost of production per unit</t>
  </si>
  <si>
    <t>1. Sales expenses</t>
  </si>
  <si>
    <t>2. Administrative expenses</t>
  </si>
  <si>
    <t>4. Depreciation of administrative tangible assets</t>
  </si>
  <si>
    <t xml:space="preserve">5. Cash outflow for administrative and sales expenses  (row 3- row 4) </t>
  </si>
  <si>
    <t>x</t>
  </si>
  <si>
    <t xml:space="preserve">1. Repayment of accounts receivable for the 20X1year  </t>
  </si>
  <si>
    <t>2. Quarterly payments of finished products sales</t>
  </si>
  <si>
    <t xml:space="preserve">in 20Х2 year  </t>
  </si>
  <si>
    <t>І quarter</t>
  </si>
  <si>
    <t>ІІ quarter</t>
  </si>
  <si>
    <t>ІІІ quarter</t>
  </si>
  <si>
    <t>ІV quarter</t>
  </si>
  <si>
    <t>3. The total amount of cash inflows (row 1+ row 2)</t>
  </si>
  <si>
    <t>4. Accounts receivable at 31.12.20Х2.</t>
  </si>
  <si>
    <t xml:space="preserve">Doubtful debts  </t>
  </si>
  <si>
    <t xml:space="preserve">1. Repayment of accounts payable for the 20Х1 year </t>
  </si>
  <si>
    <t xml:space="preserve">2. Quarterly payments for the raw materials </t>
  </si>
  <si>
    <t>in 20Х2 year:</t>
  </si>
  <si>
    <t>3. The total amount of cash outflows (row 1+row 2)</t>
  </si>
  <si>
    <t>4. Accounts payable at 31.12.20Х2.</t>
  </si>
  <si>
    <t xml:space="preserve">Budget of the direct labour costs </t>
  </si>
  <si>
    <t>Budget of the other direct costs and general production costs</t>
  </si>
  <si>
    <t>Total production costs (cost of finished products)</t>
  </si>
  <si>
    <t xml:space="preserve">Budget of the administrative and sales expenses </t>
  </si>
  <si>
    <t>-</t>
  </si>
  <si>
    <t>1. Cash at the beginning of the period</t>
  </si>
  <si>
    <t xml:space="preserve">2. Cash inflows: </t>
  </si>
  <si>
    <t>2.1. Payment of finished products</t>
  </si>
  <si>
    <t xml:space="preserve">2.2. Repayment of accounts receivable for the 20X1year  </t>
  </si>
  <si>
    <t>3. Total cash (row 1+ row 2)</t>
  </si>
  <si>
    <t xml:space="preserve">4. Cash outflows: </t>
  </si>
  <si>
    <t>4.1. Payment of raw materials</t>
  </si>
  <si>
    <t>4.2. Repayment of accounts payable for the 20Х1 year</t>
  </si>
  <si>
    <t xml:space="preserve">4.3. Repayment of other current liabilities </t>
  </si>
  <si>
    <t xml:space="preserve">4.4. Payment of direct labor costs </t>
  </si>
  <si>
    <t>4.5. Cash outflow for the other direct and general production costs</t>
  </si>
  <si>
    <t xml:space="preserve">4.6. Cash outflow for administrative and sales expenses  </t>
  </si>
  <si>
    <t>4.7. Purchase of equipment</t>
  </si>
  <si>
    <t>5. Total cash outflows (Σ row 4.1 – 4.8)</t>
  </si>
  <si>
    <t>6. Excess (deficit) of cash (row 3- row 5)</t>
  </si>
  <si>
    <t>7. Financing:</t>
  </si>
  <si>
    <t>7.1. Getting credit</t>
  </si>
  <si>
    <t>7.2. Repayment of credit</t>
  </si>
  <si>
    <t xml:space="preserve">7.3. Repayment of the credit’s interest </t>
  </si>
  <si>
    <t>8. Cash at the end of the period (row 6 + row 7.1 – row 7.2 – row 7.3)</t>
  </si>
  <si>
    <t>9. The minimum cash balance at the end of the quarter</t>
  </si>
  <si>
    <t xml:space="preserve">Budget of cash inflow from sale of finished products  </t>
  </si>
  <si>
    <t>Company buyes financial investments in amount of share of short-term financial investments (15%) from current assets in first quater bring company 5% annual. In third quater company sold 40% of financial investments. Earning 10% of profit.Financial investments bring you 5% annual.</t>
  </si>
  <si>
    <t>4.8. Other cash outflow (purchase of financ.investments)</t>
  </si>
  <si>
    <t>2.3. Other cash inflows (incomes from financ.ivenstments)</t>
  </si>
  <si>
    <t>a) interest rate from FI</t>
  </si>
  <si>
    <t>b) income from sell of FI</t>
  </si>
  <si>
    <t>4.3.1 paying income tax of previous year</t>
  </si>
  <si>
    <t>4.3.2 paying bank credit of previous year</t>
  </si>
  <si>
    <t>4.3.3 paing interest rate</t>
  </si>
  <si>
    <t>0b</t>
  </si>
  <si>
    <t>The income statement (The statement of comprehensive income)</t>
  </si>
  <si>
    <t>for __________________ 20__ .</t>
  </si>
  <si>
    <t>Form № 2</t>
  </si>
  <si>
    <t>І. Financial results</t>
  </si>
  <si>
    <t xml:space="preserve">Position </t>
  </si>
  <si>
    <t xml:space="preserve">Code </t>
  </si>
  <si>
    <t>For the reporting period</t>
  </si>
  <si>
    <t>For the previous year</t>
  </si>
  <si>
    <t>Net revenue from sales of production (goods, works, services)</t>
  </si>
  <si>
    <t>Cost of production (goods, works, services) sold</t>
  </si>
  <si>
    <t>( )</t>
  </si>
  <si>
    <t>Gross:</t>
  </si>
  <si>
    <t>profit</t>
  </si>
  <si>
    <t>loss</t>
  </si>
  <si>
    <t>Other operating income</t>
  </si>
  <si>
    <t>Administrative expenses</t>
  </si>
  <si>
    <t>Sales expenses</t>
  </si>
  <si>
    <t>Other operating expenses</t>
  </si>
  <si>
    <r>
      <t>The financial result from the operational activity:</t>
    </r>
    <r>
      <rPr>
        <sz val="12"/>
        <rFont val="Times New Roman"/>
        <family val="1"/>
      </rPr>
      <t> </t>
    </r>
  </si>
  <si>
    <t>Income from investments in other enterprises equity</t>
  </si>
  <si>
    <t>Loss from investments in other enterprises equity</t>
  </si>
  <si>
    <r>
      <t>The financial result before taxation</t>
    </r>
    <r>
      <rPr>
        <b/>
        <sz val="12"/>
        <color indexed="8"/>
        <rFont val="Times New Roman"/>
        <family val="1"/>
      </rPr>
      <t>:</t>
    </r>
    <r>
      <rPr>
        <sz val="12"/>
        <rFont val="Times New Roman"/>
        <family val="1"/>
      </rPr>
      <t> </t>
    </r>
  </si>
  <si>
    <t>Expenses (income) from income tax</t>
  </si>
  <si>
    <t>Income (loss) from discontinued operations after taxation</t>
  </si>
  <si>
    <t>Net financial result:</t>
  </si>
  <si>
    <t>II. The comprehensive income</t>
  </si>
  <si>
    <t>Revaluation (markdown) of fixed assets</t>
  </si>
  <si>
    <t>Revaluation (markdown) of financial instruments</t>
  </si>
  <si>
    <t>Accumulated translation differences</t>
  </si>
  <si>
    <t>Share of other comprehensive income from associates and joint ventures</t>
  </si>
  <si>
    <t>Other comprehensive income</t>
  </si>
  <si>
    <t>Other comprehensive income before taxation</t>
  </si>
  <si>
    <t>Income tax related to other comprehensive income</t>
  </si>
  <si>
    <t>Other comprehensive income after taxation</t>
  </si>
  <si>
    <r>
      <t>Comprehensive income</t>
    </r>
    <r>
      <rPr>
        <b/>
        <sz val="12"/>
        <color indexed="8"/>
        <rFont val="Times New Roman"/>
        <family val="1"/>
      </rPr>
      <t xml:space="preserve"> (sum of positions 2350, 2355, 2460)</t>
    </r>
  </si>
  <si>
    <t>Table 13</t>
  </si>
  <si>
    <r>
      <t>Planned balance sheet</t>
    </r>
    <r>
      <rPr>
        <sz val="12"/>
        <color indexed="8"/>
        <rFont val="Times New Roman"/>
        <family val="1"/>
      </rPr>
      <t xml:space="preserve"> </t>
    </r>
  </si>
  <si>
    <t>At the end of the period</t>
  </si>
  <si>
    <t>Liabilities and equity</t>
  </si>
  <si>
    <t>І. Tangible assets:</t>
  </si>
  <si>
    <r>
      <t xml:space="preserve">І. </t>
    </r>
    <r>
      <rPr>
        <b/>
        <sz val="12"/>
        <rFont val="Times New Roman"/>
        <family val="1"/>
      </rPr>
      <t>Equity</t>
    </r>
    <r>
      <rPr>
        <sz val="12"/>
        <rFont val="Times New Roman"/>
        <family val="1"/>
      </rPr>
      <t>:</t>
    </r>
  </si>
  <si>
    <t>Buildings</t>
  </si>
  <si>
    <t>Simple shares</t>
  </si>
  <si>
    <t>Equipment</t>
  </si>
  <si>
    <t>Data + Purchase of equipment</t>
  </si>
  <si>
    <t>Retained earnings</t>
  </si>
  <si>
    <t xml:space="preserve">Depreciation </t>
  </si>
  <si>
    <t>Total tangible assets І</t>
  </si>
  <si>
    <r>
      <t>Total equity</t>
    </r>
    <r>
      <rPr>
        <b/>
        <sz val="12"/>
        <color indexed="8"/>
        <rFont val="Times New Roman"/>
        <family val="1"/>
      </rPr>
      <t xml:space="preserve"> I</t>
    </r>
  </si>
  <si>
    <r>
      <t xml:space="preserve">ІІ. </t>
    </r>
    <r>
      <rPr>
        <b/>
        <sz val="12"/>
        <rFont val="Times New Roman"/>
        <family val="1"/>
      </rPr>
      <t>Current assets</t>
    </r>
    <r>
      <rPr>
        <sz val="12"/>
        <rFont val="Times New Roman"/>
        <family val="1"/>
      </rPr>
      <t>:</t>
    </r>
  </si>
  <si>
    <r>
      <t xml:space="preserve">ІІ. </t>
    </r>
    <r>
      <rPr>
        <b/>
        <sz val="12"/>
        <rFont val="Times New Roman"/>
        <family val="1"/>
      </rPr>
      <t>Current liabilities</t>
    </r>
    <r>
      <rPr>
        <sz val="12"/>
        <rFont val="Times New Roman"/>
        <family val="1"/>
      </rPr>
      <t xml:space="preserve">: </t>
    </r>
  </si>
  <si>
    <t>Finished products</t>
  </si>
  <si>
    <t xml:space="preserve">Finished products inventories at the end of the period * </t>
  </si>
  <si>
    <t>Cost of finished products unit</t>
  </si>
  <si>
    <t>Raw materials</t>
  </si>
  <si>
    <t>Raw materials inventories at the end of the period * Price of the raw materials unit</t>
  </si>
  <si>
    <t>Accounts payable by the budget</t>
  </si>
  <si>
    <t>Accounts receivable</t>
  </si>
  <si>
    <t>Accounts receivable at 31.12.20Х2.</t>
  </si>
  <si>
    <t xml:space="preserve">Data + Getting credit – Repayment of credits </t>
  </si>
  <si>
    <t>Short-term financial investments</t>
  </si>
  <si>
    <t xml:space="preserve">Purchase – sale </t>
  </si>
  <si>
    <t>Cash and cash equivalents</t>
  </si>
  <si>
    <r>
      <t>Total current assets</t>
    </r>
    <r>
      <rPr>
        <sz val="12"/>
        <rFont val="Times New Roman"/>
        <family val="1"/>
      </rPr>
      <t xml:space="preserve"> ІІ</t>
    </r>
  </si>
  <si>
    <t>Total current liabilities ІІ</t>
  </si>
  <si>
    <t>Balance sheet</t>
  </si>
  <si>
    <t>cost of finished products-</t>
  </si>
  <si>
    <t>Other financial income interests rate from finan  interestments</t>
  </si>
  <si>
    <t>Other income from sale of financial investment</t>
  </si>
  <si>
    <t>Financial costs interest rate form bank credit</t>
  </si>
  <si>
    <t>Other costs of financial investment sold</t>
  </si>
  <si>
    <t xml:space="preserve">Data + Depreciation accumulated for the period </t>
  </si>
  <si>
    <t>Accounts payable at 31.12.20Х2</t>
  </si>
  <si>
    <t>Tax profit for the period</t>
  </si>
  <si>
    <t>Net profit for the period  +</t>
  </si>
  <si>
    <t>data</t>
  </si>
  <si>
    <t xml:space="preserve"> </t>
  </si>
  <si>
    <t>accounts receivable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</si>
</sst>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_-;\-* #,##0_-;_-* &quot;-&quot;_-;_-@_-"/>
    <numFmt numFmtId="170" formatCode="_-* #,##0.00\ &quot;Kč&quot;_-;\-* #,##0.00\ &quot;Kč&quot;_-;_-* &quot;-&quot;??\ &quot;Kč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¥€-2]\ #\ ##,000_);[Red]\([$€-2]\ #\ ##,000\)"/>
    <numFmt numFmtId="204" formatCode="0.0000000000"/>
  </numFmts>
  <fonts count="45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1" applyNumberFormat="0" applyFill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left" vertical="justify" wrapText="1"/>
    </xf>
    <xf numFmtId="0" fontId="3" fillId="0" borderId="10" xfId="0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 vertical="justify"/>
    </xf>
    <xf numFmtId="2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0" fontId="3" fillId="34" borderId="0" xfId="0" applyFont="1" applyFill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9" fontId="0" fillId="0" borderId="0" xfId="0" applyNumberFormat="1" applyFont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14" fontId="3" fillId="0" borderId="12" xfId="0" applyNumberFormat="1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43" fillId="0" borderId="20" xfId="0" applyFont="1" applyBorder="1" applyAlignment="1">
      <alignment vertical="center" wrapText="1"/>
    </xf>
    <xf numFmtId="0" fontId="44" fillId="0" borderId="20" xfId="0" applyFont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4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26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vertical="center" wrapText="1"/>
    </xf>
    <xf numFmtId="2" fontId="3" fillId="0" borderId="23" xfId="0" applyNumberFormat="1" applyFont="1" applyBorder="1" applyAlignment="1">
      <alignment vertical="center" wrapText="1"/>
    </xf>
    <xf numFmtId="2" fontId="3" fillId="0" borderId="22" xfId="0" applyNumberFormat="1" applyFont="1" applyBorder="1" applyAlignment="1">
      <alignment vertical="center" wrapText="1"/>
    </xf>
    <xf numFmtId="2" fontId="3" fillId="0" borderId="12" xfId="0" applyNumberFormat="1" applyFont="1" applyBorder="1" applyAlignment="1">
      <alignment vertical="center" wrapText="1"/>
    </xf>
    <xf numFmtId="2" fontId="6" fillId="0" borderId="11" xfId="0" applyNumberFormat="1" applyFont="1" applyBorder="1" applyAlignment="1">
      <alignment vertical="center" wrapText="1"/>
    </xf>
    <xf numFmtId="2" fontId="0" fillId="35" borderId="0" xfId="0" applyNumberFormat="1" applyFill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omma" xfId="33"/>
    <cellStyle name="Comma [0]" xfId="34"/>
    <cellStyle name="Celkem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Špatně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4"/>
  <sheetViews>
    <sheetView view="pageBreakPreview" zoomScaleSheetLayoutView="100" zoomScalePageLayoutView="0" workbookViewId="0" topLeftCell="A1">
      <pane xSplit="1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1" sqref="G1:G16384"/>
    </sheetView>
  </sheetViews>
  <sheetFormatPr defaultColWidth="9.140625" defaultRowHeight="12.75"/>
  <cols>
    <col min="1" max="1" width="27.8515625" style="1" bestFit="1" customWidth="1"/>
    <col min="2" max="8" width="7.140625" style="1" bestFit="1" customWidth="1"/>
    <col min="9" max="9" width="7.28125" style="1" bestFit="1" customWidth="1"/>
    <col min="10" max="10" width="7.140625" style="1" bestFit="1" customWidth="1"/>
    <col min="11" max="11" width="7.28125" style="1" bestFit="1" customWidth="1"/>
    <col min="12" max="14" width="7.140625" style="1" bestFit="1" customWidth="1"/>
    <col min="15" max="17" width="9.421875" style="1" bestFit="1" customWidth="1"/>
    <col min="18" max="18" width="8.28125" style="1" bestFit="1" customWidth="1"/>
    <col min="19" max="19" width="7.140625" style="1" bestFit="1" customWidth="1"/>
    <col min="20" max="20" width="9.421875" style="1" bestFit="1" customWidth="1"/>
    <col min="21" max="23" width="7.140625" style="1" bestFit="1" customWidth="1"/>
    <col min="24" max="24" width="9.421875" style="1" bestFit="1" customWidth="1"/>
    <col min="25" max="27" width="7.140625" style="1" bestFit="1" customWidth="1"/>
    <col min="28" max="29" width="9.421875" style="2" bestFit="1" customWidth="1"/>
    <col min="30" max="30" width="10.57421875" style="2" bestFit="1" customWidth="1"/>
    <col min="31" max="31" width="7.28125" style="2" bestFit="1" customWidth="1"/>
    <col min="32" max="16384" width="9.140625" style="1" customWidth="1"/>
  </cols>
  <sheetData>
    <row r="1" spans="1:31" s="3" customFormat="1" ht="13.5">
      <c r="A1" s="3" t="s">
        <v>36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3">
        <v>14</v>
      </c>
      <c r="P1" s="3">
        <v>15</v>
      </c>
      <c r="Q1" s="3">
        <v>16</v>
      </c>
      <c r="R1" s="3">
        <v>17</v>
      </c>
      <c r="S1" s="3">
        <v>18</v>
      </c>
      <c r="T1" s="3">
        <v>19</v>
      </c>
      <c r="U1" s="3">
        <v>20</v>
      </c>
      <c r="V1" s="3">
        <v>21</v>
      </c>
      <c r="W1" s="3">
        <v>22</v>
      </c>
      <c r="X1" s="3">
        <v>23</v>
      </c>
      <c r="Y1" s="3">
        <v>24</v>
      </c>
      <c r="Z1" s="3">
        <v>25</v>
      </c>
      <c r="AA1" s="3">
        <v>26</v>
      </c>
      <c r="AB1" s="4">
        <v>27</v>
      </c>
      <c r="AC1" s="4">
        <v>28</v>
      </c>
      <c r="AD1" s="4">
        <v>29</v>
      </c>
      <c r="AE1" s="4">
        <v>30</v>
      </c>
    </row>
    <row r="2" ht="13.5" hidden="1"/>
    <row r="3" spans="1:31" ht="30.75">
      <c r="A3" s="5" t="s">
        <v>0</v>
      </c>
      <c r="B3" s="6">
        <v>6104</v>
      </c>
      <c r="C3" s="6">
        <v>4690</v>
      </c>
      <c r="D3" s="6">
        <v>3804</v>
      </c>
      <c r="E3" s="6">
        <v>4721</v>
      </c>
      <c r="F3" s="6">
        <v>6345</v>
      </c>
      <c r="G3" s="6">
        <v>3957</v>
      </c>
      <c r="H3" s="6">
        <v>5485</v>
      </c>
      <c r="I3" s="6">
        <v>6589</v>
      </c>
      <c r="J3" s="6">
        <v>5110</v>
      </c>
      <c r="K3" s="6">
        <v>5444</v>
      </c>
      <c r="L3" s="6">
        <v>3890</v>
      </c>
      <c r="M3" s="6">
        <v>5097</v>
      </c>
      <c r="N3" s="6">
        <v>4082</v>
      </c>
      <c r="O3" s="6">
        <v>6700</v>
      </c>
      <c r="P3" s="6">
        <v>7055</v>
      </c>
      <c r="Q3" s="6">
        <v>6704</v>
      </c>
      <c r="R3" s="6">
        <v>3122</v>
      </c>
      <c r="S3" s="6">
        <v>4082</v>
      </c>
      <c r="T3" s="6">
        <v>7055</v>
      </c>
      <c r="U3" s="6">
        <v>7346</v>
      </c>
      <c r="V3" s="6">
        <v>4396</v>
      </c>
      <c r="W3" s="6">
        <v>3890</v>
      </c>
      <c r="X3" s="6">
        <v>5780</v>
      </c>
      <c r="Y3" s="6">
        <v>4080</v>
      </c>
      <c r="Z3" s="6">
        <v>3921</v>
      </c>
      <c r="AA3" s="6">
        <v>2590</v>
      </c>
      <c r="AB3" s="7">
        <v>4154.85</v>
      </c>
      <c r="AC3" s="7">
        <v>4123.4</v>
      </c>
      <c r="AD3" s="7">
        <v>7760.5</v>
      </c>
      <c r="AE3" s="7">
        <v>4896</v>
      </c>
    </row>
    <row r="4" spans="1:31" ht="15">
      <c r="A4" s="5" t="s">
        <v>1</v>
      </c>
      <c r="B4" s="6">
        <v>30000</v>
      </c>
      <c r="C4" s="6">
        <v>30000</v>
      </c>
      <c r="D4" s="6">
        <v>25000</v>
      </c>
      <c r="E4" s="6">
        <v>35000</v>
      </c>
      <c r="F4" s="6">
        <v>23000</v>
      </c>
      <c r="G4" s="6">
        <v>25000</v>
      </c>
      <c r="H4" s="6">
        <v>24000</v>
      </c>
      <c r="I4" s="6">
        <v>32000</v>
      </c>
      <c r="J4" s="6">
        <v>36000</v>
      </c>
      <c r="K4" s="6">
        <v>31000</v>
      </c>
      <c r="L4" s="6">
        <v>27000</v>
      </c>
      <c r="M4" s="6">
        <v>33000</v>
      </c>
      <c r="N4" s="6">
        <v>72000</v>
      </c>
      <c r="O4" s="6">
        <v>60000</v>
      </c>
      <c r="P4" s="6">
        <v>120000</v>
      </c>
      <c r="Q4" s="6">
        <v>55000</v>
      </c>
      <c r="R4" s="6">
        <v>45000</v>
      </c>
      <c r="S4" s="6">
        <v>72000</v>
      </c>
      <c r="T4" s="6">
        <v>100000</v>
      </c>
      <c r="U4" s="6">
        <v>36000</v>
      </c>
      <c r="V4" s="6">
        <v>40000</v>
      </c>
      <c r="W4" s="6">
        <v>27000</v>
      </c>
      <c r="X4" s="6">
        <v>25000</v>
      </c>
      <c r="Y4" s="6">
        <v>25000</v>
      </c>
      <c r="Z4" s="6">
        <v>45000</v>
      </c>
      <c r="AA4" s="6">
        <v>30000</v>
      </c>
      <c r="AB4" s="7">
        <v>26250</v>
      </c>
      <c r="AC4" s="7">
        <v>28620</v>
      </c>
      <c r="AD4" s="7">
        <v>110000</v>
      </c>
      <c r="AE4" s="7">
        <v>30000</v>
      </c>
    </row>
    <row r="5" spans="1:31" ht="15">
      <c r="A5" s="5" t="s">
        <v>2</v>
      </c>
      <c r="B5" s="6">
        <v>11200</v>
      </c>
      <c r="C5" s="6">
        <v>4750</v>
      </c>
      <c r="D5" s="6">
        <v>11200</v>
      </c>
      <c r="E5" s="6">
        <v>3820</v>
      </c>
      <c r="F5" s="6">
        <v>5600</v>
      </c>
      <c r="G5" s="6">
        <v>3480</v>
      </c>
      <c r="H5" s="6">
        <v>4500</v>
      </c>
      <c r="I5" s="6">
        <v>6700</v>
      </c>
      <c r="J5" s="6">
        <v>8200</v>
      </c>
      <c r="K5" s="6">
        <v>9870</v>
      </c>
      <c r="L5" s="6">
        <v>4560</v>
      </c>
      <c r="M5" s="6">
        <v>8150</v>
      </c>
      <c r="N5" s="6">
        <v>9420</v>
      </c>
      <c r="O5" s="6">
        <v>6300</v>
      </c>
      <c r="P5" s="6">
        <v>12200</v>
      </c>
      <c r="Q5" s="6">
        <v>12200</v>
      </c>
      <c r="R5" s="6">
        <v>12200</v>
      </c>
      <c r="S5" s="6">
        <v>7420</v>
      </c>
      <c r="T5" s="6">
        <v>12200</v>
      </c>
      <c r="U5" s="6">
        <v>8150</v>
      </c>
      <c r="V5" s="6">
        <v>9200</v>
      </c>
      <c r="W5" s="6">
        <v>4560</v>
      </c>
      <c r="X5" s="6">
        <v>5600</v>
      </c>
      <c r="Y5" s="6">
        <v>5600</v>
      </c>
      <c r="Z5" s="6">
        <v>3820</v>
      </c>
      <c r="AA5" s="6">
        <v>4750</v>
      </c>
      <c r="AB5" s="7">
        <v>3654</v>
      </c>
      <c r="AC5" s="7">
        <v>4833.6</v>
      </c>
      <c r="AD5" s="7">
        <v>13420</v>
      </c>
      <c r="AE5" s="7">
        <v>6720</v>
      </c>
    </row>
    <row r="6" spans="1:31" ht="30.75">
      <c r="A6" s="5" t="s">
        <v>11</v>
      </c>
      <c r="B6" s="6">
        <v>500</v>
      </c>
      <c r="C6" s="6">
        <v>690</v>
      </c>
      <c r="D6" s="6">
        <v>500</v>
      </c>
      <c r="E6" s="6">
        <v>2226</v>
      </c>
      <c r="F6" s="6">
        <v>1600</v>
      </c>
      <c r="G6" s="6">
        <v>2177</v>
      </c>
      <c r="H6" s="6">
        <v>785</v>
      </c>
      <c r="I6" s="6">
        <v>3058</v>
      </c>
      <c r="J6" s="6">
        <v>1460</v>
      </c>
      <c r="K6" s="6">
        <v>2456</v>
      </c>
      <c r="L6" s="6">
        <v>1224</v>
      </c>
      <c r="M6" s="6">
        <v>672</v>
      </c>
      <c r="N6" s="6">
        <v>2580</v>
      </c>
      <c r="O6" s="6">
        <v>1725</v>
      </c>
      <c r="P6" s="6">
        <v>4840</v>
      </c>
      <c r="Q6" s="6">
        <v>2420</v>
      </c>
      <c r="R6" s="6">
        <v>2200</v>
      </c>
      <c r="S6" s="6">
        <v>2580</v>
      </c>
      <c r="T6" s="6">
        <v>1540</v>
      </c>
      <c r="U6" s="6">
        <v>672</v>
      </c>
      <c r="V6" s="6">
        <v>7946</v>
      </c>
      <c r="W6" s="6">
        <v>816</v>
      </c>
      <c r="X6" s="6">
        <v>2880</v>
      </c>
      <c r="Y6" s="6">
        <v>1600</v>
      </c>
      <c r="Z6" s="6">
        <v>2226</v>
      </c>
      <c r="AA6" s="6">
        <v>690</v>
      </c>
      <c r="AB6" s="7">
        <v>2285.85</v>
      </c>
      <c r="AC6" s="7">
        <v>1297.44</v>
      </c>
      <c r="AD6" s="7">
        <v>1694</v>
      </c>
      <c r="AE6" s="7">
        <v>1920</v>
      </c>
    </row>
    <row r="7" spans="1:31" ht="15" customHeight="1">
      <c r="A7" s="5" t="s">
        <v>3</v>
      </c>
      <c r="B7" s="6">
        <v>1820</v>
      </c>
      <c r="C7" s="6">
        <v>3000</v>
      </c>
      <c r="D7" s="6">
        <v>1820</v>
      </c>
      <c r="E7" s="6">
        <v>2500</v>
      </c>
      <c r="F7" s="6">
        <v>3100</v>
      </c>
      <c r="G7" s="6">
        <v>3000</v>
      </c>
      <c r="H7" s="6">
        <v>3000</v>
      </c>
      <c r="I7" s="6">
        <v>3000</v>
      </c>
      <c r="J7" s="6">
        <v>3000</v>
      </c>
      <c r="K7" s="6">
        <v>3000</v>
      </c>
      <c r="L7" s="6">
        <v>3000</v>
      </c>
      <c r="M7" s="6">
        <v>3000</v>
      </c>
      <c r="N7" s="6">
        <v>3000</v>
      </c>
      <c r="O7" s="6">
        <v>2000</v>
      </c>
      <c r="P7" s="6">
        <v>2500</v>
      </c>
      <c r="Q7" s="6">
        <v>1500</v>
      </c>
      <c r="R7" s="6">
        <v>1500</v>
      </c>
      <c r="S7" s="6">
        <v>3000</v>
      </c>
      <c r="T7" s="6">
        <v>2500</v>
      </c>
      <c r="U7" s="6">
        <v>3000</v>
      </c>
      <c r="V7" s="6">
        <v>3000</v>
      </c>
      <c r="W7" s="6">
        <v>3000</v>
      </c>
      <c r="X7" s="6">
        <v>3100</v>
      </c>
      <c r="Y7" s="6">
        <v>3100</v>
      </c>
      <c r="Z7" s="6">
        <v>2500</v>
      </c>
      <c r="AA7" s="6">
        <v>3000</v>
      </c>
      <c r="AB7" s="7">
        <v>3150</v>
      </c>
      <c r="AC7" s="7">
        <v>3180</v>
      </c>
      <c r="AD7" s="7">
        <v>2750</v>
      </c>
      <c r="AE7" s="7">
        <v>3720</v>
      </c>
    </row>
    <row r="8" spans="1:31" ht="15.75" customHeight="1">
      <c r="A8" s="5" t="s">
        <v>4</v>
      </c>
      <c r="B8" s="6">
        <v>11900</v>
      </c>
      <c r="C8" s="6">
        <v>12300</v>
      </c>
      <c r="D8" s="6">
        <v>11900</v>
      </c>
      <c r="E8" s="6">
        <v>17000</v>
      </c>
      <c r="F8" s="6">
        <v>9700</v>
      </c>
      <c r="G8" s="6">
        <v>10500</v>
      </c>
      <c r="H8" s="6">
        <v>15200</v>
      </c>
      <c r="I8" s="6">
        <v>9200</v>
      </c>
      <c r="J8" s="6">
        <v>17300</v>
      </c>
      <c r="K8" s="6">
        <v>17500</v>
      </c>
      <c r="L8" s="6">
        <v>14600</v>
      </c>
      <c r="M8" s="6">
        <v>17000</v>
      </c>
      <c r="N8" s="6">
        <v>20000</v>
      </c>
      <c r="O8" s="6">
        <v>29395</v>
      </c>
      <c r="P8" s="6">
        <v>33375</v>
      </c>
      <c r="Q8" s="6">
        <v>23785</v>
      </c>
      <c r="R8" s="6">
        <v>22100</v>
      </c>
      <c r="S8" s="6">
        <v>20000</v>
      </c>
      <c r="T8" s="6">
        <v>33375</v>
      </c>
      <c r="U8" s="6">
        <v>17000</v>
      </c>
      <c r="V8" s="6">
        <v>15600</v>
      </c>
      <c r="W8" s="6">
        <v>14600</v>
      </c>
      <c r="X8" s="6">
        <v>12831</v>
      </c>
      <c r="Y8" s="6">
        <v>9700</v>
      </c>
      <c r="Z8" s="6">
        <v>17000</v>
      </c>
      <c r="AA8" s="6">
        <v>12300</v>
      </c>
      <c r="AB8" s="7">
        <v>11025</v>
      </c>
      <c r="AC8" s="7">
        <v>15476</v>
      </c>
      <c r="AD8" s="7">
        <v>36712.5</v>
      </c>
      <c r="AE8" s="7">
        <v>11640</v>
      </c>
    </row>
    <row r="9" spans="1:31" ht="15">
      <c r="A9" s="5" t="s">
        <v>5</v>
      </c>
      <c r="B9" s="6">
        <v>4190</v>
      </c>
      <c r="C9" s="6">
        <v>4230</v>
      </c>
      <c r="D9" s="6">
        <v>3690</v>
      </c>
      <c r="E9" s="6">
        <v>5200</v>
      </c>
      <c r="F9" s="6">
        <v>3270</v>
      </c>
      <c r="G9" s="6">
        <v>3550</v>
      </c>
      <c r="H9" s="6">
        <v>3920</v>
      </c>
      <c r="I9" s="6">
        <v>4120</v>
      </c>
      <c r="J9" s="6">
        <v>5330</v>
      </c>
      <c r="K9" s="6">
        <v>4850</v>
      </c>
      <c r="L9" s="6">
        <v>4160</v>
      </c>
      <c r="M9" s="6">
        <v>5000</v>
      </c>
      <c r="N9" s="6">
        <v>9200</v>
      </c>
      <c r="O9" s="6">
        <v>8939.5</v>
      </c>
      <c r="P9" s="6">
        <v>15337.5</v>
      </c>
      <c r="Q9" s="6">
        <v>7878.5</v>
      </c>
      <c r="R9" s="6">
        <v>6710</v>
      </c>
      <c r="S9" s="6">
        <v>9200</v>
      </c>
      <c r="T9" s="6">
        <v>13337.5</v>
      </c>
      <c r="U9" s="6">
        <v>5300</v>
      </c>
      <c r="V9" s="6">
        <v>5560</v>
      </c>
      <c r="W9" s="6">
        <v>4160</v>
      </c>
      <c r="X9" s="6">
        <v>3783.1</v>
      </c>
      <c r="Y9" s="6">
        <v>3470</v>
      </c>
      <c r="Z9" s="6">
        <v>6200</v>
      </c>
      <c r="AA9" s="6">
        <v>4230</v>
      </c>
      <c r="AB9" s="7">
        <v>3727.5</v>
      </c>
      <c r="AC9" s="7">
        <v>4409.6</v>
      </c>
      <c r="AD9" s="7">
        <v>14671.25</v>
      </c>
      <c r="AE9" s="7">
        <v>4164</v>
      </c>
    </row>
    <row r="10" spans="1:31" ht="15">
      <c r="A10" s="5" t="s">
        <v>39</v>
      </c>
      <c r="B10" s="6">
        <v>5184</v>
      </c>
      <c r="C10" s="6">
        <v>4950</v>
      </c>
      <c r="D10" s="6">
        <v>2184</v>
      </c>
      <c r="E10" s="6">
        <v>4275</v>
      </c>
      <c r="F10" s="6">
        <v>3445</v>
      </c>
      <c r="G10" s="6">
        <v>2700</v>
      </c>
      <c r="H10" s="6">
        <v>8250</v>
      </c>
      <c r="I10" s="6">
        <v>6231</v>
      </c>
      <c r="J10" s="6">
        <v>3360</v>
      </c>
      <c r="K10" s="6">
        <v>8918</v>
      </c>
      <c r="L10" s="6">
        <v>7144</v>
      </c>
      <c r="M10" s="6">
        <v>6697</v>
      </c>
      <c r="N10" s="6">
        <v>5782</v>
      </c>
      <c r="O10" s="6">
        <v>8470</v>
      </c>
      <c r="P10" s="6">
        <v>21090</v>
      </c>
      <c r="Q10" s="6">
        <v>18216</v>
      </c>
      <c r="R10" s="6">
        <v>4482</v>
      </c>
      <c r="S10" s="6">
        <v>5782</v>
      </c>
      <c r="T10" s="6">
        <v>10545</v>
      </c>
      <c r="U10" s="6">
        <v>11946</v>
      </c>
      <c r="V10" s="6">
        <v>10500</v>
      </c>
      <c r="W10" s="6">
        <v>7722</v>
      </c>
      <c r="X10" s="6">
        <v>10731</v>
      </c>
      <c r="Y10" s="6">
        <v>3180</v>
      </c>
      <c r="Z10" s="6">
        <v>4275</v>
      </c>
      <c r="AA10" s="6">
        <v>4950</v>
      </c>
      <c r="AB10" s="7">
        <v>2835</v>
      </c>
      <c r="AC10" s="7">
        <v>7572.64</v>
      </c>
      <c r="AD10" s="7">
        <v>11599.5</v>
      </c>
      <c r="AE10" s="7">
        <v>3816</v>
      </c>
    </row>
    <row r="11" spans="1:31" ht="30.75">
      <c r="A11" s="5" t="s">
        <v>6</v>
      </c>
      <c r="B11" s="6">
        <v>16690</v>
      </c>
      <c r="C11" s="6">
        <v>16430</v>
      </c>
      <c r="D11" s="6">
        <v>12290</v>
      </c>
      <c r="E11" s="6">
        <v>17500</v>
      </c>
      <c r="F11" s="6">
        <v>14270</v>
      </c>
      <c r="G11" s="6">
        <v>13550</v>
      </c>
      <c r="H11" s="6">
        <v>17920</v>
      </c>
      <c r="I11" s="6">
        <v>15220</v>
      </c>
      <c r="J11" s="6">
        <v>26100</v>
      </c>
      <c r="K11" s="6">
        <v>16850</v>
      </c>
      <c r="L11" s="6">
        <v>13720</v>
      </c>
      <c r="M11" s="6">
        <v>15380</v>
      </c>
      <c r="N11" s="6">
        <v>34200</v>
      </c>
      <c r="O11" s="6">
        <v>28939.5</v>
      </c>
      <c r="P11" s="6">
        <v>40337.5</v>
      </c>
      <c r="Q11" s="6">
        <v>22878.5</v>
      </c>
      <c r="R11" s="6">
        <v>27710</v>
      </c>
      <c r="S11" s="6">
        <v>34200</v>
      </c>
      <c r="T11" s="6">
        <v>38337.5</v>
      </c>
      <c r="U11" s="6">
        <v>15680</v>
      </c>
      <c r="V11" s="6">
        <v>6760</v>
      </c>
      <c r="W11" s="6">
        <v>13720</v>
      </c>
      <c r="X11" s="6">
        <v>15783.1</v>
      </c>
      <c r="Y11" s="6">
        <v>10245</v>
      </c>
      <c r="Z11" s="6">
        <v>28500</v>
      </c>
      <c r="AA11" s="6">
        <v>14330</v>
      </c>
      <c r="AB11" s="7">
        <v>14227.5</v>
      </c>
      <c r="AC11" s="7">
        <v>14543.2</v>
      </c>
      <c r="AD11" s="7">
        <v>42171.25</v>
      </c>
      <c r="AE11" s="7">
        <v>12294</v>
      </c>
    </row>
    <row r="12" spans="1:31" ht="15">
      <c r="A12" s="5" t="s">
        <v>7</v>
      </c>
      <c r="B12" s="6">
        <v>8900</v>
      </c>
      <c r="C12" s="6">
        <v>5800</v>
      </c>
      <c r="D12" s="6">
        <v>6300</v>
      </c>
      <c r="E12" s="6">
        <v>5200</v>
      </c>
      <c r="F12" s="6">
        <v>5100</v>
      </c>
      <c r="G12" s="6">
        <v>3200</v>
      </c>
      <c r="H12" s="6">
        <v>4350</v>
      </c>
      <c r="I12" s="6">
        <v>2600</v>
      </c>
      <c r="J12" s="6">
        <v>7100</v>
      </c>
      <c r="K12" s="6">
        <v>5600</v>
      </c>
      <c r="L12" s="6">
        <v>3298</v>
      </c>
      <c r="M12" s="6">
        <v>9002</v>
      </c>
      <c r="N12" s="6">
        <v>8200</v>
      </c>
      <c r="O12" s="6">
        <v>14400</v>
      </c>
      <c r="P12" s="6">
        <v>7200</v>
      </c>
      <c r="Q12" s="6">
        <v>3685</v>
      </c>
      <c r="R12" s="6">
        <v>4310</v>
      </c>
      <c r="S12" s="6">
        <v>6200</v>
      </c>
      <c r="T12" s="6">
        <v>13355</v>
      </c>
      <c r="U12" s="6">
        <v>9002</v>
      </c>
      <c r="V12" s="6">
        <v>5400</v>
      </c>
      <c r="W12" s="6">
        <v>3468</v>
      </c>
      <c r="X12" s="6">
        <v>10100</v>
      </c>
      <c r="Y12" s="6">
        <v>6100</v>
      </c>
      <c r="Z12" s="6">
        <v>6000</v>
      </c>
      <c r="AA12" s="6">
        <v>5800</v>
      </c>
      <c r="AB12" s="7">
        <v>3360</v>
      </c>
      <c r="AC12" s="7">
        <v>3495.88</v>
      </c>
      <c r="AD12" s="7">
        <v>14690.5</v>
      </c>
      <c r="AE12" s="7">
        <v>7320</v>
      </c>
    </row>
    <row r="13" spans="1:31" ht="16.5" customHeight="1">
      <c r="A13" s="5" t="s">
        <v>8</v>
      </c>
      <c r="B13" s="6">
        <v>5900</v>
      </c>
      <c r="C13" s="6">
        <v>7800</v>
      </c>
      <c r="D13" s="6">
        <v>8900</v>
      </c>
      <c r="E13" s="6">
        <v>3400</v>
      </c>
      <c r="F13" s="6">
        <v>5600</v>
      </c>
      <c r="G13" s="6">
        <v>13200</v>
      </c>
      <c r="H13" s="6">
        <v>10100</v>
      </c>
      <c r="I13" s="6">
        <v>6700</v>
      </c>
      <c r="J13" s="6">
        <v>5800</v>
      </c>
      <c r="K13" s="6">
        <v>4300</v>
      </c>
      <c r="L13" s="6">
        <v>5200</v>
      </c>
      <c r="M13" s="6">
        <v>4800</v>
      </c>
      <c r="N13" s="6">
        <v>1500</v>
      </c>
      <c r="O13" s="6">
        <v>8000</v>
      </c>
      <c r="P13" s="6">
        <v>8000</v>
      </c>
      <c r="Q13" s="6">
        <v>5752</v>
      </c>
      <c r="R13" s="6">
        <v>4385</v>
      </c>
      <c r="S13" s="6">
        <v>1500</v>
      </c>
      <c r="T13" s="6">
        <v>8000</v>
      </c>
      <c r="U13" s="6">
        <v>4800</v>
      </c>
      <c r="V13" s="6">
        <v>3450</v>
      </c>
      <c r="W13" s="6">
        <v>5200</v>
      </c>
      <c r="X13" s="6">
        <v>5600</v>
      </c>
      <c r="Y13" s="6">
        <v>5600</v>
      </c>
      <c r="Z13" s="6">
        <v>3400</v>
      </c>
      <c r="AA13" s="6">
        <v>7800</v>
      </c>
      <c r="AB13" s="7">
        <v>13860</v>
      </c>
      <c r="AC13" s="7">
        <v>5512</v>
      </c>
      <c r="AD13" s="7">
        <v>8800</v>
      </c>
      <c r="AE13" s="7">
        <v>6720</v>
      </c>
    </row>
    <row r="14" spans="1:31" ht="17.25" customHeight="1">
      <c r="A14" s="5" t="s">
        <v>9</v>
      </c>
      <c r="B14" s="6">
        <v>31600</v>
      </c>
      <c r="C14" s="6">
        <v>35000</v>
      </c>
      <c r="D14" s="6">
        <v>31600</v>
      </c>
      <c r="E14" s="6">
        <v>40200</v>
      </c>
      <c r="F14" s="6">
        <v>25000</v>
      </c>
      <c r="G14" s="6">
        <v>34500</v>
      </c>
      <c r="H14" s="6">
        <v>28600</v>
      </c>
      <c r="I14" s="6">
        <v>27000</v>
      </c>
      <c r="J14" s="6">
        <v>34520</v>
      </c>
      <c r="K14" s="6">
        <v>27600</v>
      </c>
      <c r="L14" s="6">
        <v>28500</v>
      </c>
      <c r="M14" s="6">
        <v>40000</v>
      </c>
      <c r="N14" s="6">
        <v>60000</v>
      </c>
      <c r="O14" s="6">
        <v>80000</v>
      </c>
      <c r="P14" s="6">
        <v>110000</v>
      </c>
      <c r="Q14" s="6">
        <v>45590</v>
      </c>
      <c r="R14" s="6">
        <v>37535</v>
      </c>
      <c r="S14" s="6">
        <v>60000</v>
      </c>
      <c r="T14" s="6">
        <v>110000</v>
      </c>
      <c r="U14" s="6">
        <v>40000</v>
      </c>
      <c r="V14" s="6">
        <v>37000</v>
      </c>
      <c r="W14" s="6">
        <v>28500</v>
      </c>
      <c r="X14" s="6">
        <v>25000</v>
      </c>
      <c r="Y14" s="6">
        <v>30225</v>
      </c>
      <c r="Z14" s="6">
        <v>40200</v>
      </c>
      <c r="AA14" s="6">
        <v>35000</v>
      </c>
      <c r="AB14" s="7">
        <v>36225</v>
      </c>
      <c r="AC14" s="7">
        <v>30210</v>
      </c>
      <c r="AD14" s="7">
        <v>121000</v>
      </c>
      <c r="AE14" s="7">
        <v>36270</v>
      </c>
    </row>
    <row r="15" spans="1:31" ht="46.5">
      <c r="A15" s="8" t="s">
        <v>37</v>
      </c>
      <c r="B15" s="6">
        <v>65</v>
      </c>
      <c r="C15" s="6">
        <v>75</v>
      </c>
      <c r="D15" s="6">
        <v>65</v>
      </c>
      <c r="E15" s="6">
        <v>65</v>
      </c>
      <c r="F15" s="6">
        <v>65</v>
      </c>
      <c r="G15" s="6">
        <v>63</v>
      </c>
      <c r="H15" s="6">
        <v>68</v>
      </c>
      <c r="I15" s="6">
        <v>70</v>
      </c>
      <c r="J15" s="6">
        <v>75</v>
      </c>
      <c r="K15" s="6">
        <v>85</v>
      </c>
      <c r="L15" s="6">
        <v>80</v>
      </c>
      <c r="M15" s="6">
        <v>70</v>
      </c>
      <c r="N15" s="6">
        <v>65</v>
      </c>
      <c r="O15" s="6">
        <v>75</v>
      </c>
      <c r="P15" s="6">
        <v>70</v>
      </c>
      <c r="Q15" s="6">
        <v>77</v>
      </c>
      <c r="R15" s="6">
        <v>65</v>
      </c>
      <c r="S15" s="6">
        <v>65</v>
      </c>
      <c r="T15" s="6">
        <v>60</v>
      </c>
      <c r="U15" s="6">
        <v>70</v>
      </c>
      <c r="V15" s="6">
        <v>67</v>
      </c>
      <c r="W15" s="6">
        <v>75</v>
      </c>
      <c r="X15" s="6">
        <v>67</v>
      </c>
      <c r="Y15" s="6">
        <v>65</v>
      </c>
      <c r="Z15" s="6">
        <v>60</v>
      </c>
      <c r="AA15" s="6">
        <v>75</v>
      </c>
      <c r="AB15" s="7">
        <v>62</v>
      </c>
      <c r="AC15" s="7">
        <v>81</v>
      </c>
      <c r="AD15" s="7">
        <v>61</v>
      </c>
      <c r="AE15" s="7">
        <v>78</v>
      </c>
    </row>
    <row r="16" spans="1:31" ht="30.75">
      <c r="A16" s="8" t="s">
        <v>10</v>
      </c>
      <c r="B16" s="6">
        <v>33</v>
      </c>
      <c r="C16" s="6">
        <v>22</v>
      </c>
      <c r="D16" s="6">
        <v>33</v>
      </c>
      <c r="E16" s="6">
        <v>32</v>
      </c>
      <c r="F16" s="6">
        <v>30</v>
      </c>
      <c r="G16" s="6">
        <v>35</v>
      </c>
      <c r="H16" s="6">
        <v>30</v>
      </c>
      <c r="I16" s="6">
        <v>26</v>
      </c>
      <c r="J16" s="6">
        <v>23</v>
      </c>
      <c r="K16" s="6">
        <v>12</v>
      </c>
      <c r="L16" s="6">
        <v>15</v>
      </c>
      <c r="M16" s="6">
        <v>25</v>
      </c>
      <c r="N16" s="6">
        <v>30</v>
      </c>
      <c r="O16" s="6">
        <v>20</v>
      </c>
      <c r="P16" s="6">
        <v>28</v>
      </c>
      <c r="Q16" s="6">
        <v>22</v>
      </c>
      <c r="R16" s="6">
        <v>33</v>
      </c>
      <c r="S16" s="6">
        <v>30</v>
      </c>
      <c r="T16" s="6">
        <v>38</v>
      </c>
      <c r="U16" s="6">
        <v>22</v>
      </c>
      <c r="V16" s="6">
        <v>25</v>
      </c>
      <c r="W16" s="6">
        <v>22</v>
      </c>
      <c r="X16" s="6">
        <v>30</v>
      </c>
      <c r="Y16" s="6">
        <v>30</v>
      </c>
      <c r="Z16" s="6">
        <v>38</v>
      </c>
      <c r="AA16" s="6">
        <v>22</v>
      </c>
      <c r="AB16" s="7">
        <v>36</v>
      </c>
      <c r="AC16" s="7">
        <v>15</v>
      </c>
      <c r="AD16" s="7">
        <v>37</v>
      </c>
      <c r="AE16" s="7">
        <v>17</v>
      </c>
    </row>
    <row r="17" spans="1:31" ht="30.75">
      <c r="A17" s="5" t="s">
        <v>40</v>
      </c>
      <c r="B17" s="6">
        <v>15</v>
      </c>
      <c r="C17" s="6">
        <v>12</v>
      </c>
      <c r="D17" s="6">
        <v>15</v>
      </c>
      <c r="E17" s="6">
        <v>11</v>
      </c>
      <c r="F17" s="6">
        <v>12</v>
      </c>
      <c r="G17" s="6">
        <v>10</v>
      </c>
      <c r="H17" s="6">
        <v>13</v>
      </c>
      <c r="I17" s="6">
        <v>15</v>
      </c>
      <c r="J17" s="6">
        <v>14</v>
      </c>
      <c r="K17" s="6">
        <v>10</v>
      </c>
      <c r="L17" s="6">
        <v>12</v>
      </c>
      <c r="M17" s="6">
        <v>15</v>
      </c>
      <c r="N17" s="6">
        <v>15</v>
      </c>
      <c r="O17" s="6">
        <v>10</v>
      </c>
      <c r="P17" s="6">
        <v>15</v>
      </c>
      <c r="Q17" s="6">
        <v>12</v>
      </c>
      <c r="R17" s="6">
        <v>14</v>
      </c>
      <c r="S17" s="6">
        <v>15</v>
      </c>
      <c r="T17" s="6">
        <v>10</v>
      </c>
      <c r="U17" s="6">
        <v>12</v>
      </c>
      <c r="V17" s="6">
        <v>10</v>
      </c>
      <c r="W17" s="6">
        <v>12</v>
      </c>
      <c r="X17" s="6">
        <v>10</v>
      </c>
      <c r="Y17" s="6">
        <v>15</v>
      </c>
      <c r="Z17" s="6">
        <v>10</v>
      </c>
      <c r="AA17" s="6">
        <v>12</v>
      </c>
      <c r="AB17" s="7">
        <v>13</v>
      </c>
      <c r="AC17" s="7">
        <v>14</v>
      </c>
      <c r="AD17" s="7">
        <v>11</v>
      </c>
      <c r="AE17" s="7">
        <v>18</v>
      </c>
    </row>
    <row r="18" spans="1:31" ht="30.75">
      <c r="A18" s="5" t="s">
        <v>12</v>
      </c>
      <c r="B18" s="6">
        <v>15</v>
      </c>
      <c r="C18" s="6">
        <v>12</v>
      </c>
      <c r="D18" s="6">
        <v>15</v>
      </c>
      <c r="E18" s="6">
        <v>11</v>
      </c>
      <c r="F18" s="6">
        <v>12</v>
      </c>
      <c r="G18" s="6">
        <v>10</v>
      </c>
      <c r="H18" s="6">
        <v>13</v>
      </c>
      <c r="I18" s="6">
        <v>15</v>
      </c>
      <c r="J18" s="6">
        <v>14</v>
      </c>
      <c r="K18" s="6">
        <v>10</v>
      </c>
      <c r="L18" s="6">
        <v>12</v>
      </c>
      <c r="M18" s="6">
        <v>15</v>
      </c>
      <c r="N18" s="6">
        <v>15</v>
      </c>
      <c r="O18" s="6">
        <v>10</v>
      </c>
      <c r="P18" s="6">
        <v>15</v>
      </c>
      <c r="Q18" s="6">
        <v>12</v>
      </c>
      <c r="R18" s="6">
        <v>14</v>
      </c>
      <c r="S18" s="6">
        <v>15</v>
      </c>
      <c r="T18" s="6">
        <v>10</v>
      </c>
      <c r="U18" s="6">
        <v>12</v>
      </c>
      <c r="V18" s="6">
        <v>10</v>
      </c>
      <c r="W18" s="6">
        <v>12</v>
      </c>
      <c r="X18" s="6">
        <v>10</v>
      </c>
      <c r="Y18" s="6">
        <v>15</v>
      </c>
      <c r="Z18" s="6">
        <v>10</v>
      </c>
      <c r="AA18" s="6">
        <v>12</v>
      </c>
      <c r="AB18" s="7">
        <v>13</v>
      </c>
      <c r="AC18" s="7">
        <v>14</v>
      </c>
      <c r="AD18" s="7">
        <v>11</v>
      </c>
      <c r="AE18" s="7">
        <v>18</v>
      </c>
    </row>
    <row r="19" spans="1:31" ht="30.75">
      <c r="A19" s="8" t="s">
        <v>13</v>
      </c>
      <c r="B19" s="6">
        <v>65</v>
      </c>
      <c r="C19" s="6">
        <v>70</v>
      </c>
      <c r="D19" s="6">
        <v>65</v>
      </c>
      <c r="E19" s="6">
        <v>60</v>
      </c>
      <c r="F19" s="6">
        <v>65</v>
      </c>
      <c r="G19" s="6">
        <v>65</v>
      </c>
      <c r="H19" s="6">
        <v>75</v>
      </c>
      <c r="I19" s="6">
        <v>80</v>
      </c>
      <c r="J19" s="6">
        <v>70</v>
      </c>
      <c r="K19" s="6">
        <v>70</v>
      </c>
      <c r="L19" s="6">
        <v>75</v>
      </c>
      <c r="M19" s="6">
        <v>60</v>
      </c>
      <c r="N19" s="6">
        <v>70</v>
      </c>
      <c r="O19" s="6">
        <v>60</v>
      </c>
      <c r="P19" s="6">
        <v>75</v>
      </c>
      <c r="Q19" s="6">
        <v>70</v>
      </c>
      <c r="R19" s="6">
        <v>65</v>
      </c>
      <c r="S19" s="6">
        <v>70</v>
      </c>
      <c r="T19" s="6">
        <v>60</v>
      </c>
      <c r="U19" s="6">
        <v>70</v>
      </c>
      <c r="V19" s="6">
        <v>65</v>
      </c>
      <c r="W19" s="6">
        <v>70</v>
      </c>
      <c r="X19" s="6">
        <v>75</v>
      </c>
      <c r="Y19" s="6">
        <v>70</v>
      </c>
      <c r="Z19" s="6">
        <v>60</v>
      </c>
      <c r="AA19" s="6">
        <v>70</v>
      </c>
      <c r="AB19" s="7">
        <v>66</v>
      </c>
      <c r="AC19" s="7">
        <v>76</v>
      </c>
      <c r="AD19" s="7">
        <v>66</v>
      </c>
      <c r="AE19" s="7">
        <v>84</v>
      </c>
    </row>
    <row r="20" spans="1:31" ht="15">
      <c r="A20" s="8" t="s">
        <v>14</v>
      </c>
      <c r="B20" s="6">
        <v>35</v>
      </c>
      <c r="C20" s="6">
        <v>30</v>
      </c>
      <c r="D20" s="6">
        <v>35</v>
      </c>
      <c r="E20" s="6">
        <v>40</v>
      </c>
      <c r="F20" s="6">
        <v>35</v>
      </c>
      <c r="G20" s="6">
        <v>35</v>
      </c>
      <c r="H20" s="6">
        <v>25</v>
      </c>
      <c r="I20" s="6">
        <v>20</v>
      </c>
      <c r="J20" s="6">
        <v>30</v>
      </c>
      <c r="K20" s="6">
        <v>30</v>
      </c>
      <c r="L20" s="6">
        <v>25</v>
      </c>
      <c r="M20" s="6">
        <v>40</v>
      </c>
      <c r="N20" s="6">
        <v>30</v>
      </c>
      <c r="O20" s="6">
        <v>40</v>
      </c>
      <c r="P20" s="6">
        <v>25</v>
      </c>
      <c r="Q20" s="6">
        <v>30</v>
      </c>
      <c r="R20" s="6">
        <v>35</v>
      </c>
      <c r="S20" s="6">
        <v>30</v>
      </c>
      <c r="T20" s="6">
        <v>40</v>
      </c>
      <c r="U20" s="6">
        <v>30</v>
      </c>
      <c r="V20" s="6">
        <v>35</v>
      </c>
      <c r="W20" s="6">
        <v>30</v>
      </c>
      <c r="X20" s="6">
        <v>25</v>
      </c>
      <c r="Y20" s="6">
        <v>30</v>
      </c>
      <c r="Z20" s="6">
        <v>40</v>
      </c>
      <c r="AA20" s="6">
        <v>30</v>
      </c>
      <c r="AB20" s="7">
        <v>34</v>
      </c>
      <c r="AC20" s="7">
        <v>24</v>
      </c>
      <c r="AD20" s="7">
        <v>34</v>
      </c>
      <c r="AE20" s="7">
        <v>16</v>
      </c>
    </row>
    <row r="21" spans="1:31" ht="30.75">
      <c r="A21" s="5" t="s">
        <v>15</v>
      </c>
      <c r="B21" s="6">
        <v>4</v>
      </c>
      <c r="C21" s="6">
        <v>6</v>
      </c>
      <c r="D21" s="6">
        <v>4</v>
      </c>
      <c r="E21" s="6">
        <v>7</v>
      </c>
      <c r="F21" s="6">
        <v>5</v>
      </c>
      <c r="G21" s="6">
        <v>7</v>
      </c>
      <c r="H21" s="6">
        <v>5</v>
      </c>
      <c r="I21" s="6">
        <v>11</v>
      </c>
      <c r="J21" s="6">
        <v>10</v>
      </c>
      <c r="K21" s="6">
        <v>8</v>
      </c>
      <c r="L21" s="6">
        <v>9</v>
      </c>
      <c r="M21" s="6">
        <v>6</v>
      </c>
      <c r="N21" s="6">
        <v>12</v>
      </c>
      <c r="O21" s="6">
        <v>15</v>
      </c>
      <c r="P21" s="6">
        <v>22</v>
      </c>
      <c r="Q21" s="6">
        <v>11</v>
      </c>
      <c r="R21" s="6">
        <v>10</v>
      </c>
      <c r="S21" s="6">
        <v>12</v>
      </c>
      <c r="T21" s="6">
        <v>7</v>
      </c>
      <c r="U21" s="6">
        <v>6</v>
      </c>
      <c r="V21" s="6">
        <v>7</v>
      </c>
      <c r="W21" s="6">
        <v>6</v>
      </c>
      <c r="X21" s="6">
        <v>9</v>
      </c>
      <c r="Y21" s="6">
        <v>5</v>
      </c>
      <c r="Z21" s="6">
        <v>7</v>
      </c>
      <c r="AA21" s="6">
        <v>6</v>
      </c>
      <c r="AB21" s="7">
        <v>8</v>
      </c>
      <c r="AC21" s="7">
        <v>10</v>
      </c>
      <c r="AD21" s="7">
        <v>8</v>
      </c>
      <c r="AE21" s="7">
        <v>6</v>
      </c>
    </row>
    <row r="22" spans="1:31" ht="15">
      <c r="A22" s="5" t="s">
        <v>16</v>
      </c>
      <c r="B22" s="6">
        <v>3828</v>
      </c>
      <c r="C22" s="6">
        <v>4380</v>
      </c>
      <c r="D22" s="6">
        <v>3828</v>
      </c>
      <c r="E22" s="6">
        <v>3690</v>
      </c>
      <c r="F22" s="6">
        <v>8160</v>
      </c>
      <c r="G22" s="6">
        <v>6216</v>
      </c>
      <c r="H22" s="6">
        <v>6804</v>
      </c>
      <c r="I22" s="6">
        <v>5880</v>
      </c>
      <c r="J22" s="6">
        <v>3360</v>
      </c>
      <c r="K22" s="6">
        <v>5124</v>
      </c>
      <c r="L22" s="6">
        <v>7440</v>
      </c>
      <c r="M22" s="6">
        <v>4440</v>
      </c>
      <c r="N22" s="6">
        <v>5340</v>
      </c>
      <c r="O22" s="6">
        <v>11280</v>
      </c>
      <c r="P22" s="6">
        <v>11706</v>
      </c>
      <c r="Q22" s="6">
        <v>5820</v>
      </c>
      <c r="R22" s="6">
        <v>8156.4</v>
      </c>
      <c r="S22" s="6">
        <v>5340</v>
      </c>
      <c r="T22" s="6">
        <v>3690</v>
      </c>
      <c r="U22" s="6">
        <v>4380</v>
      </c>
      <c r="V22" s="6">
        <v>6216</v>
      </c>
      <c r="W22" s="6">
        <v>4380</v>
      </c>
      <c r="X22" s="6">
        <v>6720</v>
      </c>
      <c r="Y22" s="6">
        <v>10020</v>
      </c>
      <c r="Z22" s="6">
        <v>3690</v>
      </c>
      <c r="AA22" s="6">
        <v>4380</v>
      </c>
      <c r="AB22" s="7">
        <v>6527</v>
      </c>
      <c r="AC22" s="7">
        <v>7886</v>
      </c>
      <c r="AD22" s="7">
        <v>4059</v>
      </c>
      <c r="AE22" s="7">
        <v>12024</v>
      </c>
    </row>
    <row r="23" spans="1:31" ht="30.75">
      <c r="A23" s="5" t="s">
        <v>17</v>
      </c>
      <c r="B23" s="6">
        <v>3</v>
      </c>
      <c r="C23" s="6">
        <v>5</v>
      </c>
      <c r="D23" s="6">
        <v>3</v>
      </c>
      <c r="E23" s="6">
        <v>3</v>
      </c>
      <c r="F23" s="6">
        <v>6</v>
      </c>
      <c r="G23" s="6">
        <v>4</v>
      </c>
      <c r="H23" s="6">
        <v>3</v>
      </c>
      <c r="I23" s="6">
        <v>6</v>
      </c>
      <c r="J23" s="6">
        <v>5</v>
      </c>
      <c r="K23" s="6">
        <v>4</v>
      </c>
      <c r="L23" s="6">
        <v>3</v>
      </c>
      <c r="M23" s="6">
        <v>2</v>
      </c>
      <c r="N23" s="6">
        <v>2</v>
      </c>
      <c r="O23" s="6">
        <v>3</v>
      </c>
      <c r="P23" s="6">
        <v>3</v>
      </c>
      <c r="Q23" s="6">
        <v>2</v>
      </c>
      <c r="R23" s="6">
        <v>3</v>
      </c>
      <c r="S23" s="6">
        <v>2</v>
      </c>
      <c r="T23" s="6">
        <v>3</v>
      </c>
      <c r="U23" s="6">
        <v>5</v>
      </c>
      <c r="V23" s="6">
        <v>4</v>
      </c>
      <c r="W23" s="6">
        <v>5</v>
      </c>
      <c r="X23" s="6">
        <v>7</v>
      </c>
      <c r="Y23" s="6">
        <v>6</v>
      </c>
      <c r="Z23" s="6">
        <v>3</v>
      </c>
      <c r="AA23" s="6">
        <v>5</v>
      </c>
      <c r="AB23" s="7">
        <v>5</v>
      </c>
      <c r="AC23" s="7">
        <v>4</v>
      </c>
      <c r="AD23" s="7">
        <v>3</v>
      </c>
      <c r="AE23" s="7">
        <v>7</v>
      </c>
    </row>
    <row r="24" spans="1:31" ht="30.75">
      <c r="A24" s="5" t="s">
        <v>18</v>
      </c>
      <c r="B24" s="6">
        <v>225</v>
      </c>
      <c r="C24" s="6">
        <v>275</v>
      </c>
      <c r="D24" s="6">
        <v>225</v>
      </c>
      <c r="E24" s="6">
        <v>300</v>
      </c>
      <c r="F24" s="6">
        <v>350</v>
      </c>
      <c r="G24" s="6">
        <v>465</v>
      </c>
      <c r="H24" s="6">
        <v>235</v>
      </c>
      <c r="I24" s="6">
        <v>210</v>
      </c>
      <c r="J24" s="6">
        <v>165</v>
      </c>
      <c r="K24" s="6">
        <v>320</v>
      </c>
      <c r="L24" s="6">
        <v>465</v>
      </c>
      <c r="M24" s="6">
        <v>340</v>
      </c>
      <c r="N24" s="6">
        <v>750</v>
      </c>
      <c r="O24" s="6">
        <v>500</v>
      </c>
      <c r="P24" s="6">
        <v>275</v>
      </c>
      <c r="Q24" s="6">
        <v>750</v>
      </c>
      <c r="R24" s="6">
        <v>120</v>
      </c>
      <c r="S24" s="6">
        <v>500</v>
      </c>
      <c r="T24" s="6">
        <v>300</v>
      </c>
      <c r="U24" s="6">
        <v>275</v>
      </c>
      <c r="V24" s="6">
        <v>465</v>
      </c>
      <c r="W24" s="6">
        <v>275</v>
      </c>
      <c r="X24" s="6">
        <v>350</v>
      </c>
      <c r="Y24" s="6">
        <v>350</v>
      </c>
      <c r="Z24" s="6">
        <v>300</v>
      </c>
      <c r="AA24" s="6">
        <v>275</v>
      </c>
      <c r="AB24" s="7">
        <v>488</v>
      </c>
      <c r="AC24" s="7">
        <v>493</v>
      </c>
      <c r="AD24" s="7">
        <v>330</v>
      </c>
      <c r="AE24" s="7">
        <v>420</v>
      </c>
    </row>
    <row r="25" spans="1:31" ht="30.75">
      <c r="A25" s="5" t="s">
        <v>38</v>
      </c>
      <c r="B25" s="6">
        <v>2</v>
      </c>
      <c r="C25" s="6">
        <v>3</v>
      </c>
      <c r="D25" s="6">
        <v>2</v>
      </c>
      <c r="E25" s="6">
        <v>4</v>
      </c>
      <c r="F25" s="6">
        <v>5</v>
      </c>
      <c r="G25" s="6">
        <v>4</v>
      </c>
      <c r="H25" s="6">
        <v>5</v>
      </c>
      <c r="I25" s="6">
        <v>3</v>
      </c>
      <c r="J25" s="6">
        <v>4</v>
      </c>
      <c r="K25" s="6">
        <v>6</v>
      </c>
      <c r="L25" s="6">
        <v>7</v>
      </c>
      <c r="M25" s="6">
        <v>5</v>
      </c>
      <c r="N25" s="6">
        <v>5</v>
      </c>
      <c r="O25" s="6">
        <v>4</v>
      </c>
      <c r="P25" s="6">
        <v>4</v>
      </c>
      <c r="Q25" s="6">
        <v>5</v>
      </c>
      <c r="R25" s="6">
        <v>4</v>
      </c>
      <c r="S25" s="6">
        <v>5</v>
      </c>
      <c r="T25" s="6">
        <v>4</v>
      </c>
      <c r="U25" s="6">
        <v>3</v>
      </c>
      <c r="V25" s="6">
        <v>4</v>
      </c>
      <c r="W25" s="6">
        <v>3</v>
      </c>
      <c r="X25" s="6">
        <v>6</v>
      </c>
      <c r="Y25" s="6">
        <v>5</v>
      </c>
      <c r="Z25" s="6">
        <v>4</v>
      </c>
      <c r="AA25" s="6">
        <v>3</v>
      </c>
      <c r="AB25" s="7">
        <v>4</v>
      </c>
      <c r="AC25" s="7">
        <v>8</v>
      </c>
      <c r="AD25" s="7">
        <v>4</v>
      </c>
      <c r="AE25" s="7">
        <v>6</v>
      </c>
    </row>
    <row r="26" spans="1:31" ht="30.75">
      <c r="A26" s="5" t="s">
        <v>19</v>
      </c>
      <c r="B26" s="6">
        <v>4</v>
      </c>
      <c r="C26" s="6">
        <v>7</v>
      </c>
      <c r="D26" s="6">
        <v>4</v>
      </c>
      <c r="E26" s="6">
        <v>6</v>
      </c>
      <c r="F26" s="6">
        <v>4</v>
      </c>
      <c r="G26" s="6">
        <v>5</v>
      </c>
      <c r="H26" s="6">
        <v>7</v>
      </c>
      <c r="I26" s="6">
        <v>6</v>
      </c>
      <c r="J26" s="6">
        <v>5</v>
      </c>
      <c r="K26" s="6">
        <v>7</v>
      </c>
      <c r="L26" s="6">
        <v>4</v>
      </c>
      <c r="M26" s="6">
        <v>3</v>
      </c>
      <c r="N26" s="6">
        <v>4</v>
      </c>
      <c r="O26" s="6">
        <v>6</v>
      </c>
      <c r="P26" s="6">
        <v>10</v>
      </c>
      <c r="Q26" s="6">
        <v>11</v>
      </c>
      <c r="R26" s="6">
        <v>4</v>
      </c>
      <c r="S26" s="6">
        <v>4</v>
      </c>
      <c r="T26" s="6">
        <v>6</v>
      </c>
      <c r="U26" s="6">
        <v>7</v>
      </c>
      <c r="V26" s="6">
        <v>5</v>
      </c>
      <c r="W26" s="6">
        <v>7</v>
      </c>
      <c r="X26" s="6">
        <v>8</v>
      </c>
      <c r="Y26" s="6">
        <v>4</v>
      </c>
      <c r="Z26" s="6">
        <v>6</v>
      </c>
      <c r="AA26" s="6">
        <v>7</v>
      </c>
      <c r="AB26" s="7">
        <v>6</v>
      </c>
      <c r="AC26" s="7">
        <v>4</v>
      </c>
      <c r="AD26" s="7">
        <v>7</v>
      </c>
      <c r="AE26" s="7">
        <v>5</v>
      </c>
    </row>
    <row r="27" spans="1:31" s="2" customFormat="1" ht="30.75">
      <c r="A27" s="9" t="s">
        <v>20</v>
      </c>
      <c r="B27" s="10">
        <v>953.775</v>
      </c>
      <c r="C27" s="10">
        <v>981.675</v>
      </c>
      <c r="D27" s="10">
        <v>787.275</v>
      </c>
      <c r="E27" s="10">
        <v>1221.75</v>
      </c>
      <c r="F27" s="10">
        <v>757.575</v>
      </c>
      <c r="G27" s="10">
        <v>784.125</v>
      </c>
      <c r="H27" s="10">
        <v>819.45</v>
      </c>
      <c r="I27" s="10">
        <v>799.2</v>
      </c>
      <c r="J27" s="10">
        <v>1233.45</v>
      </c>
      <c r="K27" s="10">
        <v>903.375</v>
      </c>
      <c r="L27" s="10">
        <v>832.95</v>
      </c>
      <c r="M27" s="10">
        <v>1138.05</v>
      </c>
      <c r="N27" s="10">
        <v>2085.75</v>
      </c>
      <c r="O27" s="10">
        <v>2271.1387499999996</v>
      </c>
      <c r="P27" s="10">
        <v>3202.59375</v>
      </c>
      <c r="Q27" s="10">
        <v>1411.12125</v>
      </c>
      <c r="R27" s="10">
        <v>1369.35</v>
      </c>
      <c r="S27" s="10">
        <v>2085.75</v>
      </c>
      <c r="T27" s="10">
        <v>3157.59375</v>
      </c>
      <c r="U27" s="10">
        <v>1144.8</v>
      </c>
      <c r="V27" s="10">
        <v>906.975</v>
      </c>
      <c r="W27" s="10">
        <v>832.95</v>
      </c>
      <c r="X27" s="10">
        <v>791.6197499999998</v>
      </c>
      <c r="Y27" s="10">
        <v>784.575</v>
      </c>
      <c r="Z27" s="10">
        <v>1469.25</v>
      </c>
      <c r="AA27" s="10">
        <v>934.425</v>
      </c>
      <c r="AB27" s="10">
        <v>823.3312500000001</v>
      </c>
      <c r="AC27" s="10">
        <v>882.9270000000001</v>
      </c>
      <c r="AD27" s="10">
        <v>3473</v>
      </c>
      <c r="AE27" s="10">
        <v>941</v>
      </c>
    </row>
    <row r="28" spans="1:31" s="2" customFormat="1" ht="46.5">
      <c r="A28" s="9" t="s">
        <v>21</v>
      </c>
      <c r="B28" s="10">
        <v>635.85</v>
      </c>
      <c r="C28" s="10">
        <v>654.45</v>
      </c>
      <c r="D28" s="10">
        <v>524.85</v>
      </c>
      <c r="E28" s="10">
        <v>814.5</v>
      </c>
      <c r="F28" s="10">
        <v>505.05</v>
      </c>
      <c r="G28" s="10">
        <v>522.75</v>
      </c>
      <c r="H28" s="10">
        <v>546.3</v>
      </c>
      <c r="I28" s="10">
        <v>532.8</v>
      </c>
      <c r="J28" s="10">
        <v>822.3</v>
      </c>
      <c r="K28" s="10">
        <v>602.25</v>
      </c>
      <c r="L28" s="10">
        <v>555.3</v>
      </c>
      <c r="M28" s="10">
        <v>758.7</v>
      </c>
      <c r="N28" s="10">
        <v>1390.5</v>
      </c>
      <c r="O28" s="10">
        <v>1514.0925</v>
      </c>
      <c r="P28" s="10">
        <v>2135.0625</v>
      </c>
      <c r="Q28" s="10">
        <v>940.7475</v>
      </c>
      <c r="R28" s="10">
        <v>912.9</v>
      </c>
      <c r="S28" s="10">
        <v>1390.5</v>
      </c>
      <c r="T28" s="10">
        <v>2105.0625</v>
      </c>
      <c r="U28" s="10">
        <v>763.2</v>
      </c>
      <c r="V28" s="10">
        <v>604.65</v>
      </c>
      <c r="W28" s="10">
        <v>555.3</v>
      </c>
      <c r="X28" s="10">
        <v>527.7465</v>
      </c>
      <c r="Y28" s="10">
        <v>523.05</v>
      </c>
      <c r="Z28" s="10">
        <v>979.5</v>
      </c>
      <c r="AA28" s="10">
        <v>622.95</v>
      </c>
      <c r="AB28" s="10">
        <v>548.8875</v>
      </c>
      <c r="AC28" s="10">
        <v>588.6179999999999</v>
      </c>
      <c r="AD28" s="10">
        <v>2316</v>
      </c>
      <c r="AE28" s="10">
        <v>628</v>
      </c>
    </row>
    <row r="29" spans="1:31" ht="30.75">
      <c r="A29" s="11" t="s">
        <v>22</v>
      </c>
      <c r="B29" s="6">
        <v>60</v>
      </c>
      <c r="C29" s="6">
        <v>61</v>
      </c>
      <c r="D29" s="6">
        <v>62</v>
      </c>
      <c r="E29" s="6">
        <v>63</v>
      </c>
      <c r="F29" s="6">
        <v>64</v>
      </c>
      <c r="G29" s="6">
        <v>65</v>
      </c>
      <c r="H29" s="6">
        <v>66</v>
      </c>
      <c r="I29" s="6">
        <v>67</v>
      </c>
      <c r="J29" s="6">
        <v>68</v>
      </c>
      <c r="K29" s="6">
        <v>70</v>
      </c>
      <c r="L29" s="6">
        <v>71</v>
      </c>
      <c r="M29" s="6">
        <v>72</v>
      </c>
      <c r="N29" s="6">
        <v>73</v>
      </c>
      <c r="O29" s="6">
        <v>74</v>
      </c>
      <c r="P29" s="6">
        <v>75</v>
      </c>
      <c r="Q29" s="6">
        <v>76</v>
      </c>
      <c r="R29" s="6">
        <v>77</v>
      </c>
      <c r="S29" s="6">
        <v>78</v>
      </c>
      <c r="T29" s="6">
        <v>79</v>
      </c>
      <c r="U29" s="6">
        <v>80</v>
      </c>
      <c r="V29" s="6">
        <v>81</v>
      </c>
      <c r="W29" s="6">
        <v>82</v>
      </c>
      <c r="X29" s="6">
        <v>83</v>
      </c>
      <c r="Y29" s="6">
        <v>84</v>
      </c>
      <c r="Z29" s="6">
        <v>85</v>
      </c>
      <c r="AA29" s="6">
        <v>86</v>
      </c>
      <c r="AB29" s="7">
        <v>64</v>
      </c>
      <c r="AC29" s="7">
        <v>75.26</v>
      </c>
      <c r="AD29" s="7">
        <v>85</v>
      </c>
      <c r="AE29" s="7">
        <v>101</v>
      </c>
    </row>
    <row r="30" spans="1:31" ht="30.75">
      <c r="A30" s="5" t="s">
        <v>23</v>
      </c>
      <c r="B30" s="6">
        <v>1.2</v>
      </c>
      <c r="C30" s="6">
        <v>1.3</v>
      </c>
      <c r="D30" s="6">
        <v>1.4</v>
      </c>
      <c r="E30" s="6">
        <v>1.5</v>
      </c>
      <c r="F30" s="6">
        <v>1.6</v>
      </c>
      <c r="G30" s="6">
        <v>1.7</v>
      </c>
      <c r="H30" s="6">
        <v>1.8</v>
      </c>
      <c r="I30" s="6">
        <v>1.9</v>
      </c>
      <c r="J30" s="6">
        <v>2</v>
      </c>
      <c r="K30" s="6">
        <v>2.2</v>
      </c>
      <c r="L30" s="6">
        <v>2.3</v>
      </c>
      <c r="M30" s="6">
        <v>2.4</v>
      </c>
      <c r="N30" s="6">
        <v>2.5</v>
      </c>
      <c r="O30" s="6">
        <v>2.6</v>
      </c>
      <c r="P30" s="6">
        <v>2.7</v>
      </c>
      <c r="Q30" s="6">
        <v>2.8</v>
      </c>
      <c r="R30" s="6">
        <v>2.9</v>
      </c>
      <c r="S30" s="6">
        <v>3</v>
      </c>
      <c r="T30" s="6">
        <v>3.1</v>
      </c>
      <c r="U30" s="6">
        <v>3.2</v>
      </c>
      <c r="V30" s="6">
        <v>3.3</v>
      </c>
      <c r="W30" s="6">
        <v>3.4</v>
      </c>
      <c r="X30" s="6">
        <v>3.5</v>
      </c>
      <c r="Y30" s="6">
        <v>3.6</v>
      </c>
      <c r="Z30" s="6">
        <v>3.7</v>
      </c>
      <c r="AA30" s="6">
        <v>3.8</v>
      </c>
      <c r="AB30" s="7">
        <v>1.8</v>
      </c>
      <c r="AC30" s="7">
        <v>2.4</v>
      </c>
      <c r="AD30" s="7">
        <v>3.4</v>
      </c>
      <c r="AE30" s="7">
        <v>4.3</v>
      </c>
    </row>
    <row r="31" spans="1:31" ht="15">
      <c r="A31" s="5" t="s">
        <v>24</v>
      </c>
      <c r="B31" s="6">
        <v>1</v>
      </c>
      <c r="C31" s="6">
        <v>1.1</v>
      </c>
      <c r="D31" s="6">
        <v>1.2</v>
      </c>
      <c r="E31" s="6">
        <v>1.3</v>
      </c>
      <c r="F31" s="6">
        <v>1.4</v>
      </c>
      <c r="G31" s="6">
        <v>1.5</v>
      </c>
      <c r="H31" s="6">
        <v>1.6</v>
      </c>
      <c r="I31" s="6">
        <v>1.7</v>
      </c>
      <c r="J31" s="6">
        <v>1.8</v>
      </c>
      <c r="K31" s="6">
        <v>2</v>
      </c>
      <c r="L31" s="6">
        <v>2.1</v>
      </c>
      <c r="M31" s="6">
        <v>2.2</v>
      </c>
      <c r="N31" s="6">
        <v>2.3</v>
      </c>
      <c r="O31" s="6">
        <v>2.4</v>
      </c>
      <c r="P31" s="6">
        <v>2.5</v>
      </c>
      <c r="Q31" s="6">
        <v>2.6</v>
      </c>
      <c r="R31" s="6">
        <v>2.7</v>
      </c>
      <c r="S31" s="6">
        <v>2.8</v>
      </c>
      <c r="T31" s="6">
        <v>2.9</v>
      </c>
      <c r="U31" s="6">
        <v>3</v>
      </c>
      <c r="V31" s="6">
        <v>3.1</v>
      </c>
      <c r="W31" s="6">
        <v>3.2</v>
      </c>
      <c r="X31" s="6">
        <v>3.3</v>
      </c>
      <c r="Y31" s="6">
        <v>3.4</v>
      </c>
      <c r="Z31" s="6">
        <v>3.5</v>
      </c>
      <c r="AA31" s="6">
        <v>3.6</v>
      </c>
      <c r="AB31" s="7">
        <v>1.6</v>
      </c>
      <c r="AC31" s="7">
        <v>2.2</v>
      </c>
      <c r="AD31" s="7">
        <v>3.1</v>
      </c>
      <c r="AE31" s="7">
        <v>4.1</v>
      </c>
    </row>
    <row r="32" spans="1:31" ht="30.75">
      <c r="A32" s="5" t="s">
        <v>25</v>
      </c>
      <c r="B32" s="6">
        <v>1500</v>
      </c>
      <c r="C32" s="6">
        <v>2000</v>
      </c>
      <c r="D32" s="6">
        <v>1500</v>
      </c>
      <c r="E32" s="6">
        <v>2500</v>
      </c>
      <c r="F32" s="6">
        <v>1500</v>
      </c>
      <c r="G32" s="6">
        <v>1200</v>
      </c>
      <c r="H32" s="6">
        <v>3000</v>
      </c>
      <c r="I32" s="6">
        <v>2000</v>
      </c>
      <c r="J32" s="6">
        <v>1500</v>
      </c>
      <c r="K32" s="6">
        <v>1000</v>
      </c>
      <c r="L32" s="6">
        <v>3000</v>
      </c>
      <c r="M32" s="6">
        <v>3000</v>
      </c>
      <c r="N32" s="6">
        <v>3000</v>
      </c>
      <c r="O32" s="6">
        <v>2000</v>
      </c>
      <c r="P32" s="6">
        <v>2500</v>
      </c>
      <c r="Q32" s="6">
        <v>1500</v>
      </c>
      <c r="R32" s="6">
        <v>1200</v>
      </c>
      <c r="S32" s="6">
        <v>3000</v>
      </c>
      <c r="T32" s="6">
        <v>2500</v>
      </c>
      <c r="U32" s="6">
        <v>3000</v>
      </c>
      <c r="V32" s="6">
        <v>2000</v>
      </c>
      <c r="W32" s="6">
        <v>3000</v>
      </c>
      <c r="X32" s="6">
        <v>2000</v>
      </c>
      <c r="Y32" s="6">
        <v>2000</v>
      </c>
      <c r="Z32" s="6">
        <v>2500</v>
      </c>
      <c r="AA32" s="6">
        <v>3000</v>
      </c>
      <c r="AB32" s="7">
        <v>1260</v>
      </c>
      <c r="AC32" s="7">
        <v>3180</v>
      </c>
      <c r="AD32" s="7">
        <v>2700</v>
      </c>
      <c r="AE32" s="7">
        <v>2400</v>
      </c>
    </row>
    <row r="33" spans="1:31" ht="46.5">
      <c r="A33" s="5" t="s">
        <v>26</v>
      </c>
      <c r="B33" s="6">
        <v>4275</v>
      </c>
      <c r="C33" s="6">
        <v>5225</v>
      </c>
      <c r="D33" s="6">
        <v>4275</v>
      </c>
      <c r="E33" s="6">
        <v>5700</v>
      </c>
      <c r="F33" s="6">
        <v>6650</v>
      </c>
      <c r="G33" s="6">
        <v>8835</v>
      </c>
      <c r="H33" s="6">
        <v>4465</v>
      </c>
      <c r="I33" s="6">
        <v>3990</v>
      </c>
      <c r="J33" s="6">
        <v>3135</v>
      </c>
      <c r="K33" s="6">
        <v>3416</v>
      </c>
      <c r="L33" s="6">
        <v>8835</v>
      </c>
      <c r="M33" s="6">
        <v>6460</v>
      </c>
      <c r="N33" s="6">
        <v>14250</v>
      </c>
      <c r="O33" s="6">
        <v>9500</v>
      </c>
      <c r="P33" s="6">
        <v>5225</v>
      </c>
      <c r="Q33" s="6">
        <v>1425</v>
      </c>
      <c r="R33" s="6">
        <v>2280</v>
      </c>
      <c r="S33" s="6">
        <v>9500</v>
      </c>
      <c r="T33" s="6">
        <v>5700</v>
      </c>
      <c r="U33" s="6">
        <v>5225</v>
      </c>
      <c r="V33" s="6">
        <v>8835</v>
      </c>
      <c r="W33" s="6">
        <v>5225</v>
      </c>
      <c r="X33" s="6">
        <v>6650</v>
      </c>
      <c r="Y33" s="6">
        <v>6650</v>
      </c>
      <c r="Z33" s="6">
        <v>5700</v>
      </c>
      <c r="AA33" s="6">
        <v>5225</v>
      </c>
      <c r="AB33" s="7">
        <v>9277</v>
      </c>
      <c r="AC33" s="7">
        <v>9365</v>
      </c>
      <c r="AD33" s="7">
        <v>6270</v>
      </c>
      <c r="AE33" s="7">
        <v>7980</v>
      </c>
    </row>
    <row r="34" spans="1:31" ht="46.5">
      <c r="A34" s="5" t="s">
        <v>27</v>
      </c>
      <c r="B34" s="6">
        <v>2552</v>
      </c>
      <c r="C34" s="6">
        <v>2920</v>
      </c>
      <c r="D34" s="6">
        <v>2552</v>
      </c>
      <c r="E34" s="6">
        <v>2460</v>
      </c>
      <c r="F34" s="6">
        <v>5440</v>
      </c>
      <c r="G34" s="6">
        <v>4144</v>
      </c>
      <c r="H34" s="6">
        <v>4536</v>
      </c>
      <c r="I34" s="6">
        <v>3920</v>
      </c>
      <c r="J34" s="6">
        <v>2240</v>
      </c>
      <c r="K34" s="6">
        <v>6080</v>
      </c>
      <c r="L34" s="6">
        <v>4960</v>
      </c>
      <c r="M34" s="6">
        <v>2960</v>
      </c>
      <c r="N34" s="6">
        <v>3560</v>
      </c>
      <c r="O34" s="6">
        <v>7520</v>
      </c>
      <c r="P34" s="6">
        <v>7804</v>
      </c>
      <c r="Q34" s="6">
        <v>3880</v>
      </c>
      <c r="R34" s="6">
        <v>5437.6</v>
      </c>
      <c r="S34" s="6">
        <v>3560</v>
      </c>
      <c r="T34" s="6">
        <v>2460</v>
      </c>
      <c r="U34" s="6">
        <v>2920</v>
      </c>
      <c r="V34" s="6">
        <v>4144</v>
      </c>
      <c r="W34" s="6">
        <v>2920</v>
      </c>
      <c r="X34" s="6">
        <v>4480</v>
      </c>
      <c r="Y34" s="6">
        <v>6680</v>
      </c>
      <c r="Z34" s="6">
        <v>2460</v>
      </c>
      <c r="AA34" s="6">
        <v>2920</v>
      </c>
      <c r="AB34" s="7">
        <v>4351</v>
      </c>
      <c r="AC34" s="7">
        <v>5250</v>
      </c>
      <c r="AD34" s="7">
        <v>2706</v>
      </c>
      <c r="AE34" s="7">
        <v>8016</v>
      </c>
    </row>
    <row r="35" spans="1:31" ht="30.75">
      <c r="A35" s="5" t="s">
        <v>28</v>
      </c>
      <c r="B35" s="6">
        <v>10</v>
      </c>
      <c r="C35" s="6">
        <v>11</v>
      </c>
      <c r="D35" s="6">
        <v>12</v>
      </c>
      <c r="E35" s="6">
        <v>13</v>
      </c>
      <c r="F35" s="6">
        <v>14</v>
      </c>
      <c r="G35" s="6">
        <v>15</v>
      </c>
      <c r="H35" s="6">
        <v>16</v>
      </c>
      <c r="I35" s="6">
        <v>17</v>
      </c>
      <c r="J35" s="6">
        <v>18</v>
      </c>
      <c r="K35" s="6">
        <v>20</v>
      </c>
      <c r="L35" s="6">
        <v>21</v>
      </c>
      <c r="M35" s="6">
        <v>22</v>
      </c>
      <c r="N35" s="6">
        <v>23</v>
      </c>
      <c r="O35" s="6">
        <v>24</v>
      </c>
      <c r="P35" s="6">
        <v>25</v>
      </c>
      <c r="Q35" s="6">
        <v>26</v>
      </c>
      <c r="R35" s="6">
        <v>27</v>
      </c>
      <c r="S35" s="6">
        <v>28</v>
      </c>
      <c r="T35" s="6">
        <v>29</v>
      </c>
      <c r="U35" s="6">
        <v>30</v>
      </c>
      <c r="V35" s="6">
        <v>31</v>
      </c>
      <c r="W35" s="6">
        <v>32</v>
      </c>
      <c r="X35" s="6">
        <v>33</v>
      </c>
      <c r="Y35" s="6">
        <v>34</v>
      </c>
      <c r="Z35" s="6">
        <v>35</v>
      </c>
      <c r="AA35" s="6">
        <v>36</v>
      </c>
      <c r="AB35" s="7">
        <v>16</v>
      </c>
      <c r="AC35" s="7">
        <v>22</v>
      </c>
      <c r="AD35" s="7">
        <v>32</v>
      </c>
      <c r="AE35" s="7">
        <v>36</v>
      </c>
    </row>
    <row r="36" spans="1:31" ht="15">
      <c r="A36" s="5" t="s">
        <v>29</v>
      </c>
      <c r="B36" s="6">
        <v>25</v>
      </c>
      <c r="C36" s="6">
        <v>35</v>
      </c>
      <c r="D36" s="6">
        <v>25</v>
      </c>
      <c r="E36" s="6">
        <v>25</v>
      </c>
      <c r="F36" s="6">
        <v>20</v>
      </c>
      <c r="G36" s="6">
        <v>30</v>
      </c>
      <c r="H36" s="6">
        <v>25</v>
      </c>
      <c r="I36" s="6">
        <v>35</v>
      </c>
      <c r="J36" s="6">
        <v>30</v>
      </c>
      <c r="K36" s="6">
        <v>25</v>
      </c>
      <c r="L36" s="6">
        <v>30</v>
      </c>
      <c r="M36" s="6">
        <v>20</v>
      </c>
      <c r="N36" s="6">
        <v>30</v>
      </c>
      <c r="O36" s="6">
        <v>35</v>
      </c>
      <c r="P36" s="6">
        <v>35</v>
      </c>
      <c r="Q36" s="6">
        <v>25</v>
      </c>
      <c r="R36" s="6">
        <v>20</v>
      </c>
      <c r="S36" s="6">
        <v>30</v>
      </c>
      <c r="T36" s="6">
        <v>25</v>
      </c>
      <c r="U36" s="6">
        <v>35</v>
      </c>
      <c r="V36" s="6">
        <v>35</v>
      </c>
      <c r="W36" s="6">
        <v>35</v>
      </c>
      <c r="X36" s="6">
        <v>35</v>
      </c>
      <c r="Y36" s="6">
        <v>20</v>
      </c>
      <c r="Z36" s="6">
        <v>25</v>
      </c>
      <c r="AA36" s="6">
        <v>35</v>
      </c>
      <c r="AB36" s="7">
        <v>30</v>
      </c>
      <c r="AC36" s="7">
        <v>32</v>
      </c>
      <c r="AD36" s="7">
        <v>25</v>
      </c>
      <c r="AE36" s="7">
        <v>24</v>
      </c>
    </row>
    <row r="37" spans="1:31" ht="30.75">
      <c r="A37" s="5" t="s">
        <v>30</v>
      </c>
      <c r="B37" s="6">
        <v>15000</v>
      </c>
      <c r="C37" s="6">
        <v>10000</v>
      </c>
      <c r="D37" s="6">
        <v>15000</v>
      </c>
      <c r="E37" s="6">
        <v>14000</v>
      </c>
      <c r="F37" s="6">
        <v>12300</v>
      </c>
      <c r="G37" s="6">
        <v>8000</v>
      </c>
      <c r="H37" s="6">
        <v>6000</v>
      </c>
      <c r="I37" s="6">
        <v>7000</v>
      </c>
      <c r="J37" s="6">
        <v>6200</v>
      </c>
      <c r="K37" s="6">
        <v>8000</v>
      </c>
      <c r="L37" s="6">
        <v>9000</v>
      </c>
      <c r="M37" s="6">
        <v>7000</v>
      </c>
      <c r="N37" s="6">
        <v>5000</v>
      </c>
      <c r="O37" s="6">
        <v>6000</v>
      </c>
      <c r="P37" s="6">
        <v>6000</v>
      </c>
      <c r="Q37" s="6">
        <v>10000</v>
      </c>
      <c r="R37" s="6">
        <v>6000</v>
      </c>
      <c r="S37" s="6">
        <v>5000</v>
      </c>
      <c r="T37" s="6">
        <v>14000</v>
      </c>
      <c r="U37" s="6">
        <v>10000</v>
      </c>
      <c r="V37" s="6">
        <v>8000</v>
      </c>
      <c r="W37" s="6">
        <v>10000</v>
      </c>
      <c r="X37" s="6">
        <v>12000</v>
      </c>
      <c r="Y37" s="6">
        <v>15300</v>
      </c>
      <c r="Z37" s="6">
        <v>14000</v>
      </c>
      <c r="AA37" s="6">
        <v>10000</v>
      </c>
      <c r="AB37" s="7">
        <v>8400</v>
      </c>
      <c r="AC37" s="7">
        <v>9540</v>
      </c>
      <c r="AD37" s="7">
        <v>15400</v>
      </c>
      <c r="AE37" s="7">
        <v>18000</v>
      </c>
    </row>
    <row r="38" spans="1:31" ht="15">
      <c r="A38" s="5" t="s">
        <v>31</v>
      </c>
      <c r="B38" s="6">
        <v>25</v>
      </c>
      <c r="C38" s="6">
        <v>25</v>
      </c>
      <c r="D38" s="6">
        <v>25</v>
      </c>
      <c r="E38" s="6">
        <v>25</v>
      </c>
      <c r="F38" s="6">
        <v>25</v>
      </c>
      <c r="G38" s="6">
        <v>25</v>
      </c>
      <c r="H38" s="6">
        <v>25</v>
      </c>
      <c r="I38" s="6">
        <v>25</v>
      </c>
      <c r="J38" s="6">
        <v>25</v>
      </c>
      <c r="K38" s="6">
        <v>25</v>
      </c>
      <c r="L38" s="6">
        <v>25</v>
      </c>
      <c r="M38" s="6">
        <v>25</v>
      </c>
      <c r="N38" s="6">
        <v>25</v>
      </c>
      <c r="O38" s="6">
        <v>25</v>
      </c>
      <c r="P38" s="6">
        <v>25</v>
      </c>
      <c r="Q38" s="6">
        <v>25</v>
      </c>
      <c r="R38" s="6">
        <v>25</v>
      </c>
      <c r="S38" s="6">
        <v>25</v>
      </c>
      <c r="T38" s="6">
        <v>25</v>
      </c>
      <c r="U38" s="6">
        <v>25</v>
      </c>
      <c r="V38" s="6">
        <v>25</v>
      </c>
      <c r="W38" s="6">
        <v>25</v>
      </c>
      <c r="X38" s="6">
        <v>25</v>
      </c>
      <c r="Y38" s="6">
        <v>25</v>
      </c>
      <c r="Z38" s="6">
        <v>25</v>
      </c>
      <c r="AA38" s="6">
        <v>25</v>
      </c>
      <c r="AB38" s="7">
        <v>25</v>
      </c>
      <c r="AC38" s="7">
        <v>25</v>
      </c>
      <c r="AD38" s="7">
        <v>25</v>
      </c>
      <c r="AE38" s="7">
        <v>25</v>
      </c>
    </row>
    <row r="39" spans="1:31" ht="15">
      <c r="A39" s="5" t="s">
        <v>32</v>
      </c>
      <c r="B39" s="6">
        <v>48</v>
      </c>
      <c r="C39" s="6">
        <v>114</v>
      </c>
      <c r="D39" s="6">
        <v>48</v>
      </c>
      <c r="E39" s="6">
        <v>115</v>
      </c>
      <c r="F39" s="6">
        <v>130</v>
      </c>
      <c r="G39" s="6">
        <v>108</v>
      </c>
      <c r="H39" s="6">
        <v>138</v>
      </c>
      <c r="I39" s="6">
        <v>156</v>
      </c>
      <c r="J39" s="6">
        <v>138</v>
      </c>
      <c r="K39" s="6">
        <v>160</v>
      </c>
      <c r="L39" s="6">
        <v>126</v>
      </c>
      <c r="M39" s="6">
        <v>114</v>
      </c>
      <c r="N39" s="6">
        <v>126</v>
      </c>
      <c r="O39" s="6">
        <v>144</v>
      </c>
      <c r="P39" s="6">
        <v>264</v>
      </c>
      <c r="Q39" s="6">
        <v>250</v>
      </c>
      <c r="R39" s="6">
        <v>130</v>
      </c>
      <c r="S39" s="6">
        <v>126</v>
      </c>
      <c r="T39" s="6">
        <v>116</v>
      </c>
      <c r="U39" s="6">
        <v>114</v>
      </c>
      <c r="V39" s="6">
        <v>113</v>
      </c>
      <c r="W39" s="6">
        <v>114</v>
      </c>
      <c r="X39" s="6">
        <v>252</v>
      </c>
      <c r="Y39" s="6">
        <v>108</v>
      </c>
      <c r="Z39" s="6">
        <v>125</v>
      </c>
      <c r="AA39" s="6">
        <v>130</v>
      </c>
      <c r="AB39" s="7">
        <v>140</v>
      </c>
      <c r="AC39" s="7">
        <v>154</v>
      </c>
      <c r="AD39" s="7">
        <v>128</v>
      </c>
      <c r="AE39" s="7">
        <v>130</v>
      </c>
    </row>
    <row r="40" spans="1:31" ht="30.75">
      <c r="A40" s="5" t="s">
        <v>41</v>
      </c>
      <c r="B40" s="6">
        <v>1175</v>
      </c>
      <c r="C40" s="6">
        <v>670</v>
      </c>
      <c r="D40" s="6">
        <v>1175</v>
      </c>
      <c r="E40" s="6">
        <v>910</v>
      </c>
      <c r="F40" s="6">
        <v>850</v>
      </c>
      <c r="G40" s="6">
        <v>870</v>
      </c>
      <c r="H40" s="6">
        <v>470</v>
      </c>
      <c r="I40" s="6">
        <v>350</v>
      </c>
      <c r="J40" s="6">
        <v>260</v>
      </c>
      <c r="K40" s="6">
        <v>410</v>
      </c>
      <c r="L40" s="6">
        <v>805</v>
      </c>
      <c r="M40" s="6">
        <v>1800</v>
      </c>
      <c r="N40" s="6">
        <v>1000</v>
      </c>
      <c r="O40" s="6">
        <v>1600</v>
      </c>
      <c r="P40" s="6">
        <v>250</v>
      </c>
      <c r="Q40" s="6">
        <v>210</v>
      </c>
      <c r="R40" s="6">
        <v>175</v>
      </c>
      <c r="S40" s="6">
        <v>770</v>
      </c>
      <c r="T40" s="6">
        <v>910</v>
      </c>
      <c r="U40" s="6">
        <v>670</v>
      </c>
      <c r="V40" s="6">
        <v>870</v>
      </c>
      <c r="W40" s="6">
        <v>670</v>
      </c>
      <c r="X40" s="6">
        <v>390</v>
      </c>
      <c r="Y40" s="6">
        <v>680</v>
      </c>
      <c r="Z40" s="6">
        <v>910</v>
      </c>
      <c r="AA40" s="6">
        <v>670</v>
      </c>
      <c r="AB40" s="7">
        <v>914</v>
      </c>
      <c r="AC40" s="7">
        <v>853</v>
      </c>
      <c r="AD40" s="7">
        <v>1001</v>
      </c>
      <c r="AE40" s="7">
        <v>816</v>
      </c>
    </row>
    <row r="41" spans="1:31" ht="15">
      <c r="A41" s="6" t="s">
        <v>33</v>
      </c>
      <c r="B41" s="6">
        <v>1120</v>
      </c>
      <c r="C41" s="6">
        <v>710</v>
      </c>
      <c r="D41" s="6">
        <v>1120</v>
      </c>
      <c r="E41" s="6">
        <v>950</v>
      </c>
      <c r="F41" s="6">
        <v>835</v>
      </c>
      <c r="G41" s="6">
        <v>880</v>
      </c>
      <c r="H41" s="6">
        <v>440</v>
      </c>
      <c r="I41" s="6">
        <v>390</v>
      </c>
      <c r="J41" s="6">
        <v>290</v>
      </c>
      <c r="K41" s="6">
        <v>430</v>
      </c>
      <c r="L41" s="6">
        <v>548</v>
      </c>
      <c r="M41" s="6">
        <v>2250</v>
      </c>
      <c r="N41" s="6">
        <v>950</v>
      </c>
      <c r="O41" s="6">
        <v>1650</v>
      </c>
      <c r="P41" s="6">
        <v>220</v>
      </c>
      <c r="Q41" s="6">
        <v>200</v>
      </c>
      <c r="R41" s="6">
        <v>150</v>
      </c>
      <c r="S41" s="6">
        <v>750</v>
      </c>
      <c r="T41" s="6">
        <v>950</v>
      </c>
      <c r="U41" s="6">
        <v>710</v>
      </c>
      <c r="V41" s="6">
        <v>880</v>
      </c>
      <c r="W41" s="6">
        <v>710</v>
      </c>
      <c r="X41" s="6">
        <v>360</v>
      </c>
      <c r="Y41" s="6">
        <v>690</v>
      </c>
      <c r="Z41" s="6">
        <v>950</v>
      </c>
      <c r="AA41" s="6">
        <v>710</v>
      </c>
      <c r="AB41" s="7">
        <v>924</v>
      </c>
      <c r="AC41" s="7">
        <v>581</v>
      </c>
      <c r="AD41" s="7">
        <v>1045</v>
      </c>
      <c r="AE41" s="7">
        <v>828</v>
      </c>
    </row>
    <row r="42" spans="1:31" ht="15">
      <c r="A42" s="6" t="s">
        <v>34</v>
      </c>
      <c r="B42" s="6">
        <v>1150</v>
      </c>
      <c r="C42" s="6">
        <v>725</v>
      </c>
      <c r="D42" s="6">
        <v>1150</v>
      </c>
      <c r="E42" s="6">
        <v>1020</v>
      </c>
      <c r="F42" s="6">
        <v>870</v>
      </c>
      <c r="G42" s="6">
        <v>925</v>
      </c>
      <c r="H42" s="6">
        <v>450</v>
      </c>
      <c r="I42" s="6">
        <v>370</v>
      </c>
      <c r="J42" s="6">
        <v>285</v>
      </c>
      <c r="K42" s="6">
        <v>400</v>
      </c>
      <c r="L42" s="6">
        <v>950</v>
      </c>
      <c r="M42" s="6">
        <v>2200</v>
      </c>
      <c r="N42" s="6">
        <v>980</v>
      </c>
      <c r="O42" s="6">
        <v>1500</v>
      </c>
      <c r="P42" s="6">
        <v>275</v>
      </c>
      <c r="Q42" s="6">
        <v>190</v>
      </c>
      <c r="R42" s="6">
        <v>160</v>
      </c>
      <c r="S42" s="6">
        <v>800</v>
      </c>
      <c r="T42" s="6">
        <v>1020</v>
      </c>
      <c r="U42" s="6">
        <v>725</v>
      </c>
      <c r="V42" s="6">
        <v>925</v>
      </c>
      <c r="W42" s="6">
        <v>725</v>
      </c>
      <c r="X42" s="6">
        <v>380</v>
      </c>
      <c r="Y42" s="6">
        <v>705</v>
      </c>
      <c r="Z42" s="6">
        <v>1020</v>
      </c>
      <c r="AA42" s="6">
        <v>725</v>
      </c>
      <c r="AB42" s="7">
        <v>971</v>
      </c>
      <c r="AC42" s="7">
        <v>1007</v>
      </c>
      <c r="AD42" s="7">
        <v>1122</v>
      </c>
      <c r="AE42" s="7">
        <v>846</v>
      </c>
    </row>
    <row r="43" spans="1:31" ht="15">
      <c r="A43" s="6" t="s">
        <v>35</v>
      </c>
      <c r="B43" s="6">
        <v>1200</v>
      </c>
      <c r="C43" s="6">
        <v>750</v>
      </c>
      <c r="D43" s="6">
        <v>1200</v>
      </c>
      <c r="E43" s="6">
        <v>1100</v>
      </c>
      <c r="F43" s="6">
        <v>825</v>
      </c>
      <c r="G43" s="6">
        <v>900</v>
      </c>
      <c r="H43" s="6">
        <v>460</v>
      </c>
      <c r="I43" s="6">
        <v>365</v>
      </c>
      <c r="J43" s="6">
        <v>300</v>
      </c>
      <c r="K43" s="6">
        <v>425</v>
      </c>
      <c r="L43" s="6">
        <v>925</v>
      </c>
      <c r="M43" s="6">
        <v>2300</v>
      </c>
      <c r="N43" s="6">
        <v>970</v>
      </c>
      <c r="O43" s="6">
        <v>1575</v>
      </c>
      <c r="P43" s="6">
        <v>300</v>
      </c>
      <c r="Q43" s="6">
        <v>230</v>
      </c>
      <c r="R43" s="6">
        <v>180</v>
      </c>
      <c r="S43" s="6">
        <v>820</v>
      </c>
      <c r="T43" s="6">
        <v>1100</v>
      </c>
      <c r="U43" s="6">
        <v>750</v>
      </c>
      <c r="V43" s="6">
        <v>900</v>
      </c>
      <c r="W43" s="6">
        <v>750</v>
      </c>
      <c r="X43" s="6">
        <v>410</v>
      </c>
      <c r="Y43" s="6">
        <v>710</v>
      </c>
      <c r="Z43" s="6">
        <v>1100</v>
      </c>
      <c r="AA43" s="6">
        <v>750</v>
      </c>
      <c r="AB43" s="7">
        <v>945</v>
      </c>
      <c r="AC43" s="7">
        <v>981</v>
      </c>
      <c r="AD43" s="7">
        <v>1210</v>
      </c>
      <c r="AE43" s="7">
        <v>852</v>
      </c>
    </row>
    <row r="44" spans="1:31" s="6" customFormat="1" ht="30.75">
      <c r="A44" s="11" t="s">
        <v>42</v>
      </c>
      <c r="B44" s="12">
        <v>28.701334768568355</v>
      </c>
      <c r="C44" s="12">
        <v>73.2853765323993</v>
      </c>
      <c r="D44" s="12">
        <v>28.741954790096877</v>
      </c>
      <c r="E44" s="12">
        <v>70.50088944723619</v>
      </c>
      <c r="F44" s="12">
        <v>71.51653846153846</v>
      </c>
      <c r="G44" s="12">
        <v>69.69734265734266</v>
      </c>
      <c r="H44" s="12">
        <v>88.09098901098902</v>
      </c>
      <c r="I44" s="12">
        <v>106.0093220338983</v>
      </c>
      <c r="J44" s="12">
        <v>96.24696035242292</v>
      </c>
      <c r="K44" s="12">
        <v>121.75027027027026</v>
      </c>
      <c r="L44" s="12">
        <v>86.83915613382898</v>
      </c>
      <c r="M44" s="12">
        <v>44.146421052631574</v>
      </c>
      <c r="N44" s="12">
        <v>68.69123076923077</v>
      </c>
      <c r="O44" s="12">
        <v>98.15629328063241</v>
      </c>
      <c r="P44" s="12">
        <v>164.70873205741628</v>
      </c>
      <c r="Q44" s="12">
        <v>146.5225843373494</v>
      </c>
      <c r="R44" s="12">
        <v>73.28669172932332</v>
      </c>
      <c r="S44" s="12">
        <v>70.32900636942675</v>
      </c>
      <c r="T44" s="12">
        <v>76.62246105527639</v>
      </c>
      <c r="U44" s="12">
        <v>78.07392294220665</v>
      </c>
      <c r="V44" s="12">
        <v>73.48279720279722</v>
      </c>
      <c r="W44" s="12">
        <v>78.11700525394046</v>
      </c>
      <c r="X44" s="12">
        <v>172.7351551948052</v>
      </c>
      <c r="Y44" s="12">
        <v>76.34685816876123</v>
      </c>
      <c r="Z44" s="12">
        <v>76.49163316582914</v>
      </c>
      <c r="AA44" s="12">
        <v>79.219176882662</v>
      </c>
      <c r="AB44" s="12">
        <v>89.7572842301545</v>
      </c>
      <c r="AC44" s="12">
        <v>109.83525961426066</v>
      </c>
      <c r="AD44" s="12">
        <v>90.07713841936958</v>
      </c>
      <c r="AE44" s="12">
        <v>116.24827169359664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82" r:id="rId1"/>
  <rowBreaks count="1" manualBreakCount="1">
    <brk id="22" max="30" man="1"/>
  </rowBreaks>
  <colBreaks count="1" manualBreakCount="1">
    <brk id="15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34"/>
  <sheetViews>
    <sheetView tabSelected="1" zoomScalePageLayoutView="0" workbookViewId="0" topLeftCell="B219">
      <selection activeCell="N225" sqref="N225"/>
    </sheetView>
  </sheetViews>
  <sheetFormatPr defaultColWidth="9.140625" defaultRowHeight="12.75"/>
  <cols>
    <col min="1" max="1" width="61.421875" style="0" customWidth="1"/>
    <col min="2" max="2" width="7.140625" style="1" bestFit="1" customWidth="1"/>
    <col min="5" max="5" width="8.8515625" style="0" customWidth="1"/>
    <col min="6" max="6" width="11.140625" style="0" customWidth="1"/>
    <col min="7" max="7" width="5.00390625" style="0" customWidth="1"/>
    <col min="8" max="8" width="0.13671875" style="0" hidden="1" customWidth="1"/>
    <col min="9" max="9" width="34.28125" style="0" customWidth="1"/>
    <col min="10" max="10" width="13.28125" style="0" customWidth="1"/>
    <col min="11" max="11" width="13.57421875" style="0" bestFit="1" customWidth="1"/>
    <col min="12" max="12" width="12.7109375" style="0" customWidth="1"/>
    <col min="13" max="13" width="13.57421875" style="0" bestFit="1" customWidth="1"/>
    <col min="14" max="14" width="15.28125" style="0" bestFit="1" customWidth="1"/>
    <col min="15" max="15" width="9.7109375" style="0" bestFit="1" customWidth="1"/>
    <col min="16" max="16" width="6.7109375" style="0" bestFit="1" customWidth="1"/>
    <col min="17" max="17" width="14.8515625" style="0" bestFit="1" customWidth="1"/>
    <col min="18" max="18" width="15.28125" style="0" bestFit="1" customWidth="1"/>
    <col min="19" max="19" width="9.7109375" style="0" bestFit="1" customWidth="1"/>
  </cols>
  <sheetData>
    <row r="1" spans="1:2" ht="13.5">
      <c r="A1" s="3" t="s">
        <v>36</v>
      </c>
      <c r="B1" s="3">
        <v>6</v>
      </c>
    </row>
    <row r="2" ht="13.5">
      <c r="A2" s="1"/>
    </row>
    <row r="3" spans="1:3" ht="15">
      <c r="A3" s="13" t="s">
        <v>0</v>
      </c>
      <c r="B3" s="14">
        <v>3957</v>
      </c>
      <c r="C3" t="s">
        <v>43</v>
      </c>
    </row>
    <row r="4" spans="1:17" ht="15">
      <c r="A4" s="13" t="s">
        <v>1</v>
      </c>
      <c r="B4" s="14">
        <v>25000</v>
      </c>
      <c r="C4" t="s">
        <v>45</v>
      </c>
      <c r="G4" s="13"/>
      <c r="H4" s="14"/>
      <c r="M4" t="s">
        <v>44</v>
      </c>
      <c r="Q4" t="s">
        <v>51</v>
      </c>
    </row>
    <row r="5" spans="1:19" ht="15">
      <c r="A5" s="13" t="s">
        <v>2</v>
      </c>
      <c r="B5" s="14">
        <v>3480</v>
      </c>
      <c r="C5" t="s">
        <v>44</v>
      </c>
      <c r="D5" s="13"/>
      <c r="E5" s="14"/>
      <c r="G5" s="13"/>
      <c r="H5" s="14"/>
      <c r="M5" t="s">
        <v>49</v>
      </c>
      <c r="N5" s="24" t="s">
        <v>81</v>
      </c>
      <c r="O5" s="24" t="s">
        <v>82</v>
      </c>
      <c r="Q5" t="s">
        <v>45</v>
      </c>
      <c r="R5" s="24" t="s">
        <v>81</v>
      </c>
      <c r="S5" s="24" t="s">
        <v>82</v>
      </c>
    </row>
    <row r="6" spans="1:18" ht="46.5">
      <c r="A6" s="13" t="s">
        <v>11</v>
      </c>
      <c r="B6" s="14">
        <v>2177</v>
      </c>
      <c r="C6" t="s">
        <v>44</v>
      </c>
      <c r="D6" s="13"/>
      <c r="E6" s="14"/>
      <c r="G6" s="13"/>
      <c r="H6" s="14"/>
      <c r="M6" s="13" t="s">
        <v>9</v>
      </c>
      <c r="N6" s="14">
        <v>34500</v>
      </c>
      <c r="Q6" s="13" t="s">
        <v>1</v>
      </c>
      <c r="R6" s="14">
        <v>25000</v>
      </c>
    </row>
    <row r="7" spans="1:18" ht="46.5">
      <c r="A7" s="13" t="s">
        <v>3</v>
      </c>
      <c r="B7" s="14">
        <v>3000</v>
      </c>
      <c r="C7" t="s">
        <v>44</v>
      </c>
      <c r="D7" s="13"/>
      <c r="E7" s="14"/>
      <c r="G7" s="13"/>
      <c r="H7" s="14"/>
      <c r="M7" s="13" t="s">
        <v>6</v>
      </c>
      <c r="N7" s="14">
        <v>13550</v>
      </c>
      <c r="Q7" s="13" t="s">
        <v>4</v>
      </c>
      <c r="R7" s="14">
        <v>10500</v>
      </c>
    </row>
    <row r="8" spans="1:14" ht="46.5">
      <c r="A8" s="13" t="s">
        <v>4</v>
      </c>
      <c r="B8" s="14">
        <v>10500</v>
      </c>
      <c r="C8" t="s">
        <v>45</v>
      </c>
      <c r="D8" s="13"/>
      <c r="E8" s="14"/>
      <c r="G8" s="13"/>
      <c r="H8" s="14"/>
      <c r="M8" s="13" t="s">
        <v>8</v>
      </c>
      <c r="N8" s="14">
        <v>-13200</v>
      </c>
    </row>
    <row r="9" spans="1:8" ht="15">
      <c r="A9" s="13" t="s">
        <v>5</v>
      </c>
      <c r="B9" s="14">
        <v>3550</v>
      </c>
      <c r="C9" t="s">
        <v>47</v>
      </c>
      <c r="G9" s="13"/>
      <c r="H9" s="14"/>
    </row>
    <row r="10" spans="1:17" ht="15">
      <c r="A10" s="13" t="s">
        <v>39</v>
      </c>
      <c r="B10" s="14">
        <v>2700</v>
      </c>
      <c r="C10" t="s">
        <v>44</v>
      </c>
      <c r="G10" s="13"/>
      <c r="H10" s="14"/>
      <c r="M10" s="15" t="s">
        <v>50</v>
      </c>
      <c r="Q10" t="s">
        <v>43</v>
      </c>
    </row>
    <row r="11" spans="1:18" ht="46.5">
      <c r="A11" s="13" t="s">
        <v>6</v>
      </c>
      <c r="B11" s="14">
        <v>13550</v>
      </c>
      <c r="C11" t="s">
        <v>44</v>
      </c>
      <c r="M11" s="13" t="s">
        <v>39</v>
      </c>
      <c r="N11" s="14">
        <v>2700</v>
      </c>
      <c r="Q11" s="13" t="s">
        <v>5</v>
      </c>
      <c r="R11" s="14">
        <v>3550</v>
      </c>
    </row>
    <row r="12" spans="1:18" ht="62.25">
      <c r="A12" s="13" t="s">
        <v>7</v>
      </c>
      <c r="B12" s="14">
        <v>3200</v>
      </c>
      <c r="C12" t="s">
        <v>46</v>
      </c>
      <c r="M12" s="13" t="s">
        <v>11</v>
      </c>
      <c r="N12" s="14">
        <v>2177</v>
      </c>
      <c r="Q12" s="13" t="s">
        <v>0</v>
      </c>
      <c r="R12" s="14">
        <v>3957</v>
      </c>
    </row>
    <row r="13" spans="1:18" ht="46.5">
      <c r="A13" s="13" t="s">
        <v>8</v>
      </c>
      <c r="B13" s="14">
        <v>13200</v>
      </c>
      <c r="C13" t="s">
        <v>48</v>
      </c>
      <c r="M13" s="13" t="s">
        <v>2</v>
      </c>
      <c r="N13" s="14">
        <v>3480</v>
      </c>
      <c r="Q13" s="13" t="s">
        <v>7</v>
      </c>
      <c r="R13" s="14">
        <v>3200</v>
      </c>
    </row>
    <row r="14" spans="1:14" ht="46.5">
      <c r="A14" s="13" t="s">
        <v>9</v>
      </c>
      <c r="B14" s="14">
        <v>34500</v>
      </c>
      <c r="C14" t="s">
        <v>44</v>
      </c>
      <c r="M14" s="13" t="s">
        <v>3</v>
      </c>
      <c r="N14" s="14">
        <v>3000</v>
      </c>
    </row>
    <row r="15" spans="1:18" ht="15">
      <c r="A15" s="8" t="s">
        <v>37</v>
      </c>
      <c r="B15" s="6">
        <v>63</v>
      </c>
      <c r="M15" s="15" t="s">
        <v>52</v>
      </c>
      <c r="N15">
        <f>SUM(N6:N14)</f>
        <v>46207</v>
      </c>
      <c r="Q15" s="15" t="s">
        <v>52</v>
      </c>
      <c r="R15">
        <f>SUM(R6:R13)</f>
        <v>46207</v>
      </c>
    </row>
    <row r="16" spans="1:2" ht="15">
      <c r="A16" s="8" t="s">
        <v>10</v>
      </c>
      <c r="B16" s="6">
        <v>35</v>
      </c>
    </row>
    <row r="17" spans="1:3" ht="15">
      <c r="A17" s="5" t="s">
        <v>40</v>
      </c>
      <c r="B17" s="6">
        <v>10</v>
      </c>
      <c r="C17" s="22" t="s">
        <v>70</v>
      </c>
    </row>
    <row r="18" spans="1:3" ht="15">
      <c r="A18" s="5" t="s">
        <v>12</v>
      </c>
      <c r="B18" s="6">
        <v>10</v>
      </c>
      <c r="C18" s="22" t="s">
        <v>70</v>
      </c>
    </row>
    <row r="19" spans="1:2" ht="15">
      <c r="A19" s="8" t="s">
        <v>13</v>
      </c>
      <c r="B19" s="6">
        <v>65</v>
      </c>
    </row>
    <row r="20" spans="1:2" ht="15">
      <c r="A20" s="8" t="s">
        <v>14</v>
      </c>
      <c r="B20" s="6">
        <v>35</v>
      </c>
    </row>
    <row r="21" spans="1:2" ht="15">
      <c r="A21" s="5" t="s">
        <v>15</v>
      </c>
      <c r="B21" s="6">
        <v>7</v>
      </c>
    </row>
    <row r="22" spans="1:3" ht="15">
      <c r="A22" s="5" t="s">
        <v>16</v>
      </c>
      <c r="B22" s="6">
        <v>6216</v>
      </c>
      <c r="C22" s="22" t="s">
        <v>115</v>
      </c>
    </row>
    <row r="23" spans="1:2" ht="15">
      <c r="A23" s="5" t="s">
        <v>17</v>
      </c>
      <c r="B23" s="6">
        <v>4</v>
      </c>
    </row>
    <row r="24" spans="1:12" ht="15.75" thickBot="1">
      <c r="A24" s="5" t="s">
        <v>18</v>
      </c>
      <c r="B24" s="6">
        <v>465</v>
      </c>
      <c r="C24" s="22" t="s">
        <v>115</v>
      </c>
      <c r="L24" s="25" t="s">
        <v>83</v>
      </c>
    </row>
    <row r="25" spans="1:16" ht="15.75" thickBot="1">
      <c r="A25" s="5" t="s">
        <v>38</v>
      </c>
      <c r="B25" s="6">
        <v>4</v>
      </c>
      <c r="I25" s="59" t="s">
        <v>53</v>
      </c>
      <c r="J25" s="61" t="s">
        <v>54</v>
      </c>
      <c r="K25" s="62"/>
      <c r="L25" s="62"/>
      <c r="M25" s="63"/>
      <c r="N25" s="59" t="s">
        <v>55</v>
      </c>
      <c r="O25" s="61" t="s">
        <v>54</v>
      </c>
      <c r="P25" s="63"/>
    </row>
    <row r="26" spans="1:16" ht="15.75" thickBot="1">
      <c r="A26" s="5" t="s">
        <v>19</v>
      </c>
      <c r="B26" s="6">
        <v>5</v>
      </c>
      <c r="I26" s="60"/>
      <c r="J26" s="16" t="s">
        <v>56</v>
      </c>
      <c r="K26" s="16" t="s">
        <v>57</v>
      </c>
      <c r="L26" s="16" t="s">
        <v>58</v>
      </c>
      <c r="M26" s="16" t="s">
        <v>59</v>
      </c>
      <c r="N26" s="60"/>
      <c r="O26" s="16" t="s">
        <v>56</v>
      </c>
      <c r="P26" s="16" t="s">
        <v>57</v>
      </c>
    </row>
    <row r="27" spans="1:16" ht="15.75" thickBot="1">
      <c r="A27" s="9" t="s">
        <v>20</v>
      </c>
      <c r="B27" s="10">
        <v>784.125</v>
      </c>
      <c r="I27" s="17" t="s">
        <v>60</v>
      </c>
      <c r="J27" s="16">
        <v>870</v>
      </c>
      <c r="K27" s="16">
        <v>880</v>
      </c>
      <c r="L27" s="16">
        <v>925</v>
      </c>
      <c r="M27" s="16">
        <v>900</v>
      </c>
      <c r="N27" s="16">
        <f>SUM(J27:M27)</f>
        <v>3575</v>
      </c>
      <c r="O27" s="16">
        <v>920</v>
      </c>
      <c r="P27" s="16">
        <v>925</v>
      </c>
    </row>
    <row r="28" spans="1:16" ht="15.75" thickBot="1">
      <c r="A28" s="9" t="s">
        <v>21</v>
      </c>
      <c r="B28" s="10">
        <v>522.75</v>
      </c>
      <c r="C28" s="22" t="s">
        <v>115</v>
      </c>
      <c r="I28" s="17" t="s">
        <v>61</v>
      </c>
      <c r="J28" s="16">
        <v>108</v>
      </c>
      <c r="K28" s="16">
        <v>108</v>
      </c>
      <c r="L28" s="16">
        <v>108</v>
      </c>
      <c r="M28" s="16">
        <v>108</v>
      </c>
      <c r="N28" s="16">
        <v>108</v>
      </c>
      <c r="O28" s="16">
        <v>108</v>
      </c>
      <c r="P28" s="16">
        <v>108</v>
      </c>
    </row>
    <row r="29" spans="1:16" ht="15">
      <c r="A29" s="11" t="s">
        <v>22</v>
      </c>
      <c r="B29" s="6">
        <v>65</v>
      </c>
      <c r="I29" s="18" t="s">
        <v>62</v>
      </c>
      <c r="J29" s="59">
        <v>93960</v>
      </c>
      <c r="K29" s="59">
        <v>95040</v>
      </c>
      <c r="L29" s="59">
        <v>99900</v>
      </c>
      <c r="M29" s="59">
        <v>97200</v>
      </c>
      <c r="N29" s="59">
        <f>SUM(J29:M30)</f>
        <v>386100</v>
      </c>
      <c r="O29" s="59">
        <v>99360</v>
      </c>
      <c r="P29" s="59">
        <v>99900</v>
      </c>
    </row>
    <row r="30" spans="1:16" ht="15.75" thickBot="1">
      <c r="A30" s="5" t="s">
        <v>23</v>
      </c>
      <c r="B30" s="6">
        <v>1.7</v>
      </c>
      <c r="I30" s="17" t="s">
        <v>63</v>
      </c>
      <c r="J30" s="60"/>
      <c r="K30" s="60"/>
      <c r="L30" s="60"/>
      <c r="M30" s="60"/>
      <c r="N30" s="60"/>
      <c r="O30" s="60"/>
      <c r="P30" s="60"/>
    </row>
    <row r="31" spans="1:2" ht="15">
      <c r="A31" s="5" t="s">
        <v>24</v>
      </c>
      <c r="B31" s="6">
        <v>1.5</v>
      </c>
    </row>
    <row r="32" spans="1:2" ht="15">
      <c r="A32" s="5" t="s">
        <v>25</v>
      </c>
      <c r="B32" s="6">
        <v>1200</v>
      </c>
    </row>
    <row r="33" spans="1:12" ht="15.75" thickBot="1">
      <c r="A33" s="5" t="s">
        <v>26</v>
      </c>
      <c r="B33" s="6">
        <v>8835</v>
      </c>
      <c r="C33" s="22" t="s">
        <v>115</v>
      </c>
      <c r="L33" s="25" t="s">
        <v>84</v>
      </c>
    </row>
    <row r="34" spans="1:16" ht="15.75" thickBot="1">
      <c r="A34" s="5" t="s">
        <v>27</v>
      </c>
      <c r="B34" s="6">
        <v>4144</v>
      </c>
      <c r="C34" s="22" t="s">
        <v>115</v>
      </c>
      <c r="I34" s="59" t="s">
        <v>64</v>
      </c>
      <c r="J34" s="61" t="s">
        <v>54</v>
      </c>
      <c r="K34" s="62"/>
      <c r="L34" s="62"/>
      <c r="M34" s="63"/>
      <c r="N34" s="59" t="s">
        <v>65</v>
      </c>
      <c r="O34" s="61" t="s">
        <v>54</v>
      </c>
      <c r="P34" s="63"/>
    </row>
    <row r="35" spans="1:16" ht="15.75" thickBot="1">
      <c r="A35" s="5" t="s">
        <v>28</v>
      </c>
      <c r="B35" s="6">
        <v>15</v>
      </c>
      <c r="I35" s="60"/>
      <c r="J35" s="16" t="s">
        <v>56</v>
      </c>
      <c r="K35" s="16" t="s">
        <v>57</v>
      </c>
      <c r="L35" s="16" t="s">
        <v>58</v>
      </c>
      <c r="M35" s="16" t="s">
        <v>59</v>
      </c>
      <c r="N35" s="60"/>
      <c r="O35" s="20" t="s">
        <v>56</v>
      </c>
      <c r="P35" s="20" t="s">
        <v>57</v>
      </c>
    </row>
    <row r="36" spans="1:16" ht="15.75" thickBot="1">
      <c r="A36" s="5" t="s">
        <v>29</v>
      </c>
      <c r="B36" s="6">
        <v>30</v>
      </c>
      <c r="I36" s="17" t="s">
        <v>60</v>
      </c>
      <c r="J36" s="16">
        <f>J27</f>
        <v>870</v>
      </c>
      <c r="K36" s="16">
        <f aca="true" t="shared" si="0" ref="K36:P36">K27</f>
        <v>880</v>
      </c>
      <c r="L36" s="16">
        <f t="shared" si="0"/>
        <v>925</v>
      </c>
      <c r="M36" s="16">
        <f t="shared" si="0"/>
        <v>900</v>
      </c>
      <c r="N36" s="16">
        <f t="shared" si="0"/>
        <v>3575</v>
      </c>
      <c r="O36" s="16">
        <f t="shared" si="0"/>
        <v>920</v>
      </c>
      <c r="P36" s="16">
        <f t="shared" si="0"/>
        <v>925</v>
      </c>
    </row>
    <row r="37" spans="1:16" ht="31.5" thickBot="1">
      <c r="A37" s="5" t="s">
        <v>30</v>
      </c>
      <c r="B37" s="6">
        <v>8000</v>
      </c>
      <c r="G37" s="23">
        <v>0.1</v>
      </c>
      <c r="I37" s="17" t="s">
        <v>66</v>
      </c>
      <c r="J37" s="16">
        <f>$B$17/100*K36</f>
        <v>88</v>
      </c>
      <c r="K37" s="16">
        <f aca="true" t="shared" si="1" ref="K37:P37">$B$17/100*L36</f>
        <v>92.5</v>
      </c>
      <c r="L37" s="16">
        <f t="shared" si="1"/>
        <v>90</v>
      </c>
      <c r="M37" s="16">
        <f>$B$17/100*O36</f>
        <v>92</v>
      </c>
      <c r="N37" s="16">
        <f>J37+K37+L37+M37</f>
        <v>362.5</v>
      </c>
      <c r="O37" s="16">
        <f>$B$17/100*P36</f>
        <v>92.5</v>
      </c>
      <c r="P37" s="16">
        <f t="shared" si="1"/>
        <v>0</v>
      </c>
    </row>
    <row r="38" spans="1:16" ht="31.5" thickBot="1">
      <c r="A38" s="5" t="s">
        <v>31</v>
      </c>
      <c r="B38" s="6">
        <v>25</v>
      </c>
      <c r="I38" s="17" t="s">
        <v>67</v>
      </c>
      <c r="J38" s="16">
        <f>J36+J37</f>
        <v>958</v>
      </c>
      <c r="K38" s="16">
        <f aca="true" t="shared" si="2" ref="K38:P38">K36+K37</f>
        <v>972.5</v>
      </c>
      <c r="L38" s="16">
        <f t="shared" si="2"/>
        <v>1015</v>
      </c>
      <c r="M38" s="16">
        <f t="shared" si="2"/>
        <v>992</v>
      </c>
      <c r="N38" s="16">
        <f>SUM(J38:M38)</f>
        <v>3937.5</v>
      </c>
      <c r="O38" s="16">
        <f t="shared" si="2"/>
        <v>1012.5</v>
      </c>
      <c r="P38" s="16">
        <f t="shared" si="2"/>
        <v>925</v>
      </c>
    </row>
    <row r="39" spans="1:16" ht="31.5" thickBot="1">
      <c r="A39" s="5" t="s">
        <v>32</v>
      </c>
      <c r="B39" s="6">
        <v>108</v>
      </c>
      <c r="I39" s="17" t="s">
        <v>68</v>
      </c>
      <c r="J39" s="21">
        <f>B10/B44</f>
        <v>38.738923136197265</v>
      </c>
      <c r="K39" s="16">
        <f>J37</f>
        <v>88</v>
      </c>
      <c r="L39" s="16">
        <f>K37</f>
        <v>92.5</v>
      </c>
      <c r="M39" s="16">
        <f>L37</f>
        <v>90</v>
      </c>
      <c r="N39">
        <f>J39+K39+L39+M39</f>
        <v>309.2389231361973</v>
      </c>
      <c r="O39" s="16">
        <f>M37</f>
        <v>92</v>
      </c>
      <c r="P39" s="16">
        <f>O37</f>
        <v>92.5</v>
      </c>
    </row>
    <row r="40" spans="1:16" ht="31.5" thickBot="1">
      <c r="A40" s="5" t="s">
        <v>41</v>
      </c>
      <c r="B40" s="6">
        <v>870</v>
      </c>
      <c r="I40" s="17" t="s">
        <v>69</v>
      </c>
      <c r="J40" s="16">
        <f>J38-J39</f>
        <v>919.2610768638027</v>
      </c>
      <c r="K40" s="16">
        <f aca="true" t="shared" si="3" ref="K40:P40">K38-K39</f>
        <v>884.5</v>
      </c>
      <c r="L40" s="16">
        <f t="shared" si="3"/>
        <v>922.5</v>
      </c>
      <c r="M40" s="16">
        <f t="shared" si="3"/>
        <v>902</v>
      </c>
      <c r="N40" s="16">
        <f>SUM(J40:M40)</f>
        <v>3628.261076863803</v>
      </c>
      <c r="O40" s="16">
        <f t="shared" si="3"/>
        <v>920.5</v>
      </c>
      <c r="P40" s="16">
        <f t="shared" si="3"/>
        <v>832.5</v>
      </c>
    </row>
    <row r="41" spans="1:2" ht="15">
      <c r="A41" s="6" t="s">
        <v>33</v>
      </c>
      <c r="B41" s="6">
        <v>880</v>
      </c>
    </row>
    <row r="42" spans="1:2" ht="15">
      <c r="A42" s="6" t="s">
        <v>34</v>
      </c>
      <c r="B42" s="6">
        <v>925</v>
      </c>
    </row>
    <row r="43" spans="1:2" ht="15">
      <c r="A43" s="6" t="s">
        <v>35</v>
      </c>
      <c r="B43" s="6">
        <v>900</v>
      </c>
    </row>
    <row r="44" spans="1:12" ht="15">
      <c r="A44" s="11" t="s">
        <v>42</v>
      </c>
      <c r="B44" s="12">
        <v>69.69734265734266</v>
      </c>
      <c r="L44" s="26" t="s">
        <v>85</v>
      </c>
    </row>
    <row r="45" ht="14.25" thickBot="1"/>
    <row r="46" spans="9:16" ht="15.75" thickBot="1">
      <c r="I46" s="59" t="s">
        <v>64</v>
      </c>
      <c r="J46" s="61" t="s">
        <v>54</v>
      </c>
      <c r="K46" s="62"/>
      <c r="L46" s="62"/>
      <c r="M46" s="63"/>
      <c r="N46" s="59" t="s">
        <v>65</v>
      </c>
      <c r="O46" s="61" t="s">
        <v>54</v>
      </c>
      <c r="P46" s="63"/>
    </row>
    <row r="47" spans="9:16" ht="15.75" thickBot="1">
      <c r="I47" s="60"/>
      <c r="J47" s="16" t="s">
        <v>56</v>
      </c>
      <c r="K47" s="16" t="s">
        <v>57</v>
      </c>
      <c r="L47" s="16" t="s">
        <v>58</v>
      </c>
      <c r="M47" s="16" t="s">
        <v>59</v>
      </c>
      <c r="N47" s="60"/>
      <c r="O47" s="16" t="s">
        <v>56</v>
      </c>
      <c r="P47" s="16" t="s">
        <v>57</v>
      </c>
    </row>
    <row r="48" spans="9:16" ht="31.5" thickBot="1">
      <c r="I48" s="19" t="s">
        <v>71</v>
      </c>
      <c r="J48" s="16">
        <f>J40</f>
        <v>919.2610768638027</v>
      </c>
      <c r="K48" s="16">
        <f aca="true" t="shared" si="4" ref="K48:P48">K40</f>
        <v>884.5</v>
      </c>
      <c r="L48" s="16">
        <f t="shared" si="4"/>
        <v>922.5</v>
      </c>
      <c r="M48" s="16">
        <f t="shared" si="4"/>
        <v>902</v>
      </c>
      <c r="N48" s="16">
        <f t="shared" si="4"/>
        <v>3628.261076863803</v>
      </c>
      <c r="O48" s="16">
        <f t="shared" si="4"/>
        <v>920.5</v>
      </c>
      <c r="P48" s="16">
        <f t="shared" si="4"/>
        <v>832.5</v>
      </c>
    </row>
    <row r="49" spans="7:16" ht="31.5" thickBot="1">
      <c r="G49" s="22" t="s">
        <v>80</v>
      </c>
      <c r="I49" s="19" t="s">
        <v>72</v>
      </c>
      <c r="J49" s="16">
        <v>4</v>
      </c>
      <c r="K49" s="16">
        <v>4</v>
      </c>
      <c r="L49" s="16">
        <v>4</v>
      </c>
      <c r="M49" s="16">
        <v>4</v>
      </c>
      <c r="N49" s="16">
        <f>J49+K49+L49+M49</f>
        <v>16</v>
      </c>
      <c r="O49" s="16">
        <v>4</v>
      </c>
      <c r="P49" s="16">
        <v>4</v>
      </c>
    </row>
    <row r="50" spans="9:16" ht="50.25" customHeight="1" thickBot="1">
      <c r="I50" s="19" t="s">
        <v>73</v>
      </c>
      <c r="J50" s="16">
        <f>J48*J49</f>
        <v>3677.044307455211</v>
      </c>
      <c r="K50" s="16">
        <f aca="true" t="shared" si="5" ref="K50:P50">K48*K49</f>
        <v>3538</v>
      </c>
      <c r="L50" s="16">
        <f t="shared" si="5"/>
        <v>3690</v>
      </c>
      <c r="M50" s="16">
        <f t="shared" si="5"/>
        <v>3608</v>
      </c>
      <c r="N50" s="16">
        <f>N48*N49</f>
        <v>58052.177229820845</v>
      </c>
      <c r="O50" s="16">
        <f t="shared" si="5"/>
        <v>3682</v>
      </c>
      <c r="P50" s="16">
        <f t="shared" si="5"/>
        <v>3330</v>
      </c>
    </row>
    <row r="51" spans="7:16" ht="31.5" thickBot="1">
      <c r="G51" s="23">
        <v>0.1</v>
      </c>
      <c r="I51" s="19" t="s">
        <v>74</v>
      </c>
      <c r="J51" s="16">
        <f>$B$17/100*K50</f>
        <v>353.8</v>
      </c>
      <c r="K51" s="16">
        <f aca="true" t="shared" si="6" ref="K51:P51">$B$17/100*L50</f>
        <v>369</v>
      </c>
      <c r="L51" s="16">
        <f t="shared" si="6"/>
        <v>360.8</v>
      </c>
      <c r="M51" s="16">
        <f>$B$17/100*O50</f>
        <v>368.20000000000005</v>
      </c>
      <c r="N51" s="16">
        <f>J51+K51+L51+M51</f>
        <v>1451.8</v>
      </c>
      <c r="O51" s="16">
        <f t="shared" si="6"/>
        <v>333</v>
      </c>
      <c r="P51" s="16">
        <f t="shared" si="6"/>
        <v>0</v>
      </c>
    </row>
    <row r="52" spans="9:16" ht="47.25" thickBot="1">
      <c r="I52" s="19" t="s">
        <v>75</v>
      </c>
      <c r="J52" s="16">
        <f>J50+J51</f>
        <v>4030.844307455211</v>
      </c>
      <c r="K52" s="16">
        <f aca="true" t="shared" si="7" ref="K52:P52">K50+K51</f>
        <v>3907</v>
      </c>
      <c r="L52" s="16">
        <f t="shared" si="7"/>
        <v>4050.8</v>
      </c>
      <c r="M52" s="16">
        <f t="shared" si="7"/>
        <v>3976.2</v>
      </c>
      <c r="N52" s="16">
        <f>SUM(J52:M52)</f>
        <v>15964.844307455212</v>
      </c>
      <c r="O52" s="16">
        <f t="shared" si="7"/>
        <v>4015</v>
      </c>
      <c r="P52" s="16">
        <f t="shared" si="7"/>
        <v>3330</v>
      </c>
    </row>
    <row r="53" spans="9:16" ht="31.5" thickBot="1">
      <c r="I53" s="19" t="s">
        <v>76</v>
      </c>
      <c r="J53" s="21">
        <f>B6/B21</f>
        <v>311</v>
      </c>
      <c r="K53" s="16">
        <f>J51</f>
        <v>353.8</v>
      </c>
      <c r="L53" s="16">
        <f>K51</f>
        <v>369</v>
      </c>
      <c r="M53" s="16">
        <f>L51</f>
        <v>360.8</v>
      </c>
      <c r="O53" s="16">
        <f>M51</f>
        <v>368.20000000000005</v>
      </c>
      <c r="P53" s="16">
        <f>O51</f>
        <v>333</v>
      </c>
    </row>
    <row r="54" spans="9:16" ht="47.25" thickBot="1">
      <c r="I54" s="19" t="s">
        <v>77</v>
      </c>
      <c r="J54" s="16">
        <f>J52-J53</f>
        <v>3719.844307455211</v>
      </c>
      <c r="K54" s="16">
        <f aca="true" t="shared" si="8" ref="K54:P54">K52-K53</f>
        <v>3553.2</v>
      </c>
      <c r="L54" s="16">
        <f t="shared" si="8"/>
        <v>3681.8</v>
      </c>
      <c r="M54" s="16">
        <f t="shared" si="8"/>
        <v>3615.3999999999996</v>
      </c>
      <c r="N54" s="16">
        <f>SUM(J54:M54)</f>
        <v>14570.244307455212</v>
      </c>
      <c r="O54" s="16">
        <f t="shared" si="8"/>
        <v>3646.8</v>
      </c>
      <c r="P54" s="16">
        <f t="shared" si="8"/>
        <v>2997</v>
      </c>
    </row>
    <row r="55" spans="9:16" ht="31.5" thickBot="1">
      <c r="I55" s="19" t="s">
        <v>78</v>
      </c>
      <c r="J55" s="16">
        <v>7</v>
      </c>
      <c r="K55" s="16">
        <v>7</v>
      </c>
      <c r="L55" s="16">
        <v>7</v>
      </c>
      <c r="M55" s="16">
        <v>7</v>
      </c>
      <c r="N55" s="16">
        <v>7</v>
      </c>
      <c r="O55" s="16">
        <v>7</v>
      </c>
      <c r="P55" s="16">
        <v>7</v>
      </c>
    </row>
    <row r="56" spans="9:16" ht="40.5" customHeight="1" thickBot="1">
      <c r="I56" s="19" t="s">
        <v>79</v>
      </c>
      <c r="J56" s="16">
        <f>J54*J55</f>
        <v>26038.910152186476</v>
      </c>
      <c r="K56" s="16">
        <f>K54*K55</f>
        <v>24872.399999999998</v>
      </c>
      <c r="L56" s="16">
        <f>L54*L55</f>
        <v>25772.600000000002</v>
      </c>
      <c r="M56" s="16">
        <f>M54*M55</f>
        <v>25307.799999999996</v>
      </c>
      <c r="N56" s="16">
        <f>SUM(J56:M56)</f>
        <v>101991.71015218648</v>
      </c>
      <c r="O56" s="16">
        <f>O54*O55</f>
        <v>25527.600000000002</v>
      </c>
      <c r="P56" s="16">
        <f>P54*P55</f>
        <v>20979</v>
      </c>
    </row>
    <row r="58" ht="15.75" thickBot="1">
      <c r="J58" s="25" t="s">
        <v>131</v>
      </c>
    </row>
    <row r="59" spans="9:14" ht="15.75" thickBot="1">
      <c r="I59" s="59" t="s">
        <v>64</v>
      </c>
      <c r="J59" s="61" t="s">
        <v>54</v>
      </c>
      <c r="K59" s="62"/>
      <c r="L59" s="62"/>
      <c r="M59" s="63"/>
      <c r="N59" s="59" t="s">
        <v>65</v>
      </c>
    </row>
    <row r="60" spans="9:14" ht="15.75" thickBot="1">
      <c r="I60" s="60"/>
      <c r="J60" s="16" t="s">
        <v>56</v>
      </c>
      <c r="K60" s="16" t="s">
        <v>57</v>
      </c>
      <c r="L60" s="16" t="s">
        <v>58</v>
      </c>
      <c r="M60" s="16" t="s">
        <v>59</v>
      </c>
      <c r="N60" s="60"/>
    </row>
    <row r="61" spans="9:14" ht="31.5" thickBot="1">
      <c r="I61" s="17" t="s">
        <v>71</v>
      </c>
      <c r="J61" s="16">
        <f>J48</f>
        <v>919.2610768638027</v>
      </c>
      <c r="K61" s="16">
        <f>K48</f>
        <v>884.5</v>
      </c>
      <c r="L61" s="16">
        <f>L48</f>
        <v>922.5</v>
      </c>
      <c r="M61" s="16">
        <f>M48</f>
        <v>902</v>
      </c>
      <c r="N61" s="16">
        <f>SUM(J61:M61)</f>
        <v>3628.261076863803</v>
      </c>
    </row>
    <row r="62" spans="9:14" ht="31.5" thickBot="1">
      <c r="I62" s="17" t="s">
        <v>86</v>
      </c>
      <c r="J62" s="16">
        <v>4</v>
      </c>
      <c r="K62" s="16">
        <v>4</v>
      </c>
      <c r="L62" s="16">
        <v>4</v>
      </c>
      <c r="M62" s="16">
        <v>4</v>
      </c>
      <c r="N62" s="16">
        <v>4</v>
      </c>
    </row>
    <row r="63" spans="9:14" ht="47.25" thickBot="1">
      <c r="I63" s="17" t="s">
        <v>87</v>
      </c>
      <c r="J63" s="16">
        <f>J61*J62</f>
        <v>3677.044307455211</v>
      </c>
      <c r="K63" s="16">
        <f>K61*K62</f>
        <v>3538</v>
      </c>
      <c r="L63" s="16">
        <f>L61*L62</f>
        <v>3690</v>
      </c>
      <c r="M63" s="16">
        <f>M61*M62</f>
        <v>3608</v>
      </c>
      <c r="N63" s="16">
        <f>N61*N62</f>
        <v>14513.044307455211</v>
      </c>
    </row>
    <row r="64" spans="9:14" ht="31.5" thickBot="1">
      <c r="I64" s="17" t="s">
        <v>88</v>
      </c>
      <c r="J64" s="16">
        <v>5</v>
      </c>
      <c r="K64" s="16">
        <v>5</v>
      </c>
      <c r="L64" s="16">
        <v>5</v>
      </c>
      <c r="M64" s="16">
        <v>5</v>
      </c>
      <c r="N64" s="16">
        <v>5</v>
      </c>
    </row>
    <row r="65" spans="9:15" ht="31.5" thickBot="1">
      <c r="I65" s="17" t="s">
        <v>89</v>
      </c>
      <c r="J65" s="20">
        <f>0.37*J63*J64</f>
        <v>6802.53196879214</v>
      </c>
      <c r="K65" s="20">
        <f>0.37*K63*K64</f>
        <v>6545.299999999999</v>
      </c>
      <c r="L65" s="20">
        <f>0.37*L63*L64</f>
        <v>6826.5</v>
      </c>
      <c r="M65" s="20">
        <f>0.37*M63*M64</f>
        <v>6674.8</v>
      </c>
      <c r="N65" s="20">
        <f>0.37*N63*N64</f>
        <v>26849.13196879214</v>
      </c>
      <c r="O65" s="22" t="s">
        <v>91</v>
      </c>
    </row>
    <row r="66" spans="9:14" ht="31.5" thickBot="1">
      <c r="I66" s="17" t="s">
        <v>90</v>
      </c>
      <c r="J66" s="16">
        <f>J63*J64+J65</f>
        <v>25187.753506068195</v>
      </c>
      <c r="K66" s="16">
        <f>K63*K64+K65</f>
        <v>24235.3</v>
      </c>
      <c r="L66" s="16">
        <f>L63*L64+L65</f>
        <v>25276.5</v>
      </c>
      <c r="M66" s="16">
        <f>M63*M64+M65</f>
        <v>24714.8</v>
      </c>
      <c r="N66" s="16">
        <f>N63*N64+N65</f>
        <v>99414.35350606819</v>
      </c>
    </row>
    <row r="67" spans="9:14" ht="15">
      <c r="I67" s="28"/>
      <c r="J67" s="29"/>
      <c r="K67" s="29"/>
      <c r="L67" s="29"/>
      <c r="M67" s="29"/>
      <c r="N67" s="29"/>
    </row>
    <row r="68" ht="15.75" thickBot="1">
      <c r="J68" s="25" t="s">
        <v>132</v>
      </c>
    </row>
    <row r="69" spans="9:14" ht="15.75" thickBot="1">
      <c r="I69" s="59" t="s">
        <v>64</v>
      </c>
      <c r="J69" s="61" t="s">
        <v>54</v>
      </c>
      <c r="K69" s="62"/>
      <c r="L69" s="62"/>
      <c r="M69" s="63"/>
      <c r="N69" s="59" t="s">
        <v>65</v>
      </c>
    </row>
    <row r="70" spans="9:14" ht="15.75" thickBot="1">
      <c r="I70" s="60"/>
      <c r="J70" s="16" t="s">
        <v>56</v>
      </c>
      <c r="K70" s="16" t="s">
        <v>57</v>
      </c>
      <c r="L70" s="16" t="s">
        <v>58</v>
      </c>
      <c r="M70" s="16" t="s">
        <v>59</v>
      </c>
      <c r="N70" s="60"/>
    </row>
    <row r="71" spans="9:14" ht="15.75" thickBot="1">
      <c r="I71" s="17" t="s">
        <v>92</v>
      </c>
      <c r="J71" s="16" t="s">
        <v>99</v>
      </c>
      <c r="K71" s="16" t="s">
        <v>99</v>
      </c>
      <c r="L71" s="16" t="s">
        <v>99</v>
      </c>
      <c r="M71" s="16" t="s">
        <v>99</v>
      </c>
      <c r="N71" s="16" t="s">
        <v>99</v>
      </c>
    </row>
    <row r="72" spans="9:15" ht="15.75" thickBot="1">
      <c r="I72" s="17" t="s">
        <v>93</v>
      </c>
      <c r="J72" s="16">
        <f>1.5/100*J52*J55</f>
        <v>423.23865228279715</v>
      </c>
      <c r="K72" s="16">
        <f>1.5/100*K52*K55</f>
        <v>410.23499999999996</v>
      </c>
      <c r="L72" s="16">
        <f>1.5/100*L52*L55</f>
        <v>425.334</v>
      </c>
      <c r="M72" s="16">
        <f>1.5/100*M52*M55</f>
        <v>417.501</v>
      </c>
      <c r="N72" s="16">
        <f aca="true" t="shared" si="9" ref="N72:N77">J72+K72+L72+M72</f>
        <v>1676.308652282797</v>
      </c>
      <c r="O72" s="22" t="s">
        <v>100</v>
      </c>
    </row>
    <row r="73" spans="9:14" ht="15.75" thickBot="1">
      <c r="I73" s="17" t="s">
        <v>94</v>
      </c>
      <c r="J73" s="16">
        <v>784</v>
      </c>
      <c r="K73" s="16">
        <v>784</v>
      </c>
      <c r="L73" s="16">
        <v>784</v>
      </c>
      <c r="M73" s="16">
        <v>784</v>
      </c>
      <c r="N73" s="16">
        <f t="shared" si="9"/>
        <v>3136</v>
      </c>
    </row>
    <row r="74" spans="9:15" ht="15.75" thickBot="1">
      <c r="I74" s="17" t="s">
        <v>95</v>
      </c>
      <c r="J74" s="16">
        <f>65/100*J63*J64</f>
        <v>11950.393999229436</v>
      </c>
      <c r="K74" s="16">
        <f>65/100*K63*K64</f>
        <v>11498.500000000002</v>
      </c>
      <c r="L74" s="16">
        <f>65/100*L63*L64</f>
        <v>11992.5</v>
      </c>
      <c r="M74" s="16">
        <f>65/100*M63*M64</f>
        <v>11726.000000000002</v>
      </c>
      <c r="N74" s="16">
        <f t="shared" si="9"/>
        <v>47167.39399922944</v>
      </c>
      <c r="O74" s="27" t="s">
        <v>101</v>
      </c>
    </row>
    <row r="75" spans="9:14" ht="15.75" thickBot="1">
      <c r="I75" s="17" t="s">
        <v>96</v>
      </c>
      <c r="J75" s="16">
        <f>J72+J73+J74</f>
        <v>13157.632651512233</v>
      </c>
      <c r="K75" s="16">
        <f>K72+K73+K74</f>
        <v>12692.735000000002</v>
      </c>
      <c r="L75" s="16">
        <f>L72+L73+L74</f>
        <v>13201.834</v>
      </c>
      <c r="M75" s="16">
        <f>M72+M73+M74</f>
        <v>12927.501000000002</v>
      </c>
      <c r="N75" s="16">
        <f t="shared" si="9"/>
        <v>51979.70265151224</v>
      </c>
    </row>
    <row r="76" spans="9:14" ht="15.75" thickBot="1">
      <c r="I76" s="17" t="s">
        <v>97</v>
      </c>
      <c r="J76" s="16">
        <v>784</v>
      </c>
      <c r="K76" s="16">
        <v>784</v>
      </c>
      <c r="L76" s="16">
        <v>784</v>
      </c>
      <c r="M76" s="16">
        <v>784</v>
      </c>
      <c r="N76" s="16">
        <f t="shared" si="9"/>
        <v>3136</v>
      </c>
    </row>
    <row r="77" spans="9:14" ht="47.25" thickBot="1">
      <c r="I77" s="17" t="s">
        <v>98</v>
      </c>
      <c r="J77" s="16">
        <f>J75-J76</f>
        <v>12373.632651512233</v>
      </c>
      <c r="K77" s="16">
        <f>K75-K76</f>
        <v>11908.735000000002</v>
      </c>
      <c r="L77" s="16">
        <f>L75-L76</f>
        <v>12417.834</v>
      </c>
      <c r="M77" s="16">
        <f>M75-M76</f>
        <v>12143.501000000002</v>
      </c>
      <c r="N77" s="16">
        <f t="shared" si="9"/>
        <v>48843.70265151224</v>
      </c>
    </row>
    <row r="78" spans="9:14" ht="15">
      <c r="I78" s="28"/>
      <c r="J78" s="29"/>
      <c r="K78" s="29"/>
      <c r="L78" s="29"/>
      <c r="M78" s="29"/>
      <c r="N78" s="29"/>
    </row>
    <row r="79" ht="15.75" thickBot="1">
      <c r="J79" s="25" t="s">
        <v>133</v>
      </c>
    </row>
    <row r="80" spans="9:14" ht="15.75" thickBot="1">
      <c r="I80" s="59" t="s">
        <v>64</v>
      </c>
      <c r="J80" s="61" t="s">
        <v>54</v>
      </c>
      <c r="K80" s="62"/>
      <c r="L80" s="62"/>
      <c r="M80" s="63"/>
      <c r="N80" s="59" t="s">
        <v>65</v>
      </c>
    </row>
    <row r="81" spans="9:14" ht="15.75" thickBot="1">
      <c r="I81" s="60"/>
      <c r="J81" s="16" t="s">
        <v>56</v>
      </c>
      <c r="K81" s="16" t="s">
        <v>57</v>
      </c>
      <c r="L81" s="16" t="s">
        <v>58</v>
      </c>
      <c r="M81" s="16" t="s">
        <v>59</v>
      </c>
      <c r="N81" s="60"/>
    </row>
    <row r="82" spans="9:17" ht="15.75" thickBot="1">
      <c r="I82" s="17" t="s">
        <v>102</v>
      </c>
      <c r="J82" s="16">
        <f>J50*J55</f>
        <v>25739.310152186477</v>
      </c>
      <c r="K82" s="16">
        <f>K50*K55</f>
        <v>24766</v>
      </c>
      <c r="L82" s="16">
        <f>L50*L55</f>
        <v>25830</v>
      </c>
      <c r="M82" s="16">
        <f>M50*M55</f>
        <v>25256</v>
      </c>
      <c r="N82" s="16">
        <f>J82+K82+L82+M82</f>
        <v>101591.31015218647</v>
      </c>
      <c r="O82" s="22" t="s">
        <v>109</v>
      </c>
      <c r="Q82">
        <v>8</v>
      </c>
    </row>
    <row r="83" spans="9:14" ht="15.75" thickBot="1">
      <c r="I83" s="17" t="s">
        <v>103</v>
      </c>
      <c r="J83" s="16">
        <f>J66</f>
        <v>25187.753506068195</v>
      </c>
      <c r="K83" s="16">
        <f>K66</f>
        <v>24235.3</v>
      </c>
      <c r="L83" s="16">
        <f>L66</f>
        <v>25276.5</v>
      </c>
      <c r="M83" s="16">
        <f>M66</f>
        <v>24714.8</v>
      </c>
      <c r="N83" s="16">
        <f>N66</f>
        <v>99414.35350606819</v>
      </c>
    </row>
    <row r="84" spans="9:14" ht="15.75" thickBot="1">
      <c r="I84" s="17" t="s">
        <v>104</v>
      </c>
      <c r="J84" s="22" t="s">
        <v>99</v>
      </c>
      <c r="K84" s="16" t="s">
        <v>99</v>
      </c>
      <c r="L84" s="16" t="s">
        <v>99</v>
      </c>
      <c r="M84" s="16" t="s">
        <v>99</v>
      </c>
      <c r="N84" s="16" t="s">
        <v>99</v>
      </c>
    </row>
    <row r="85" spans="9:14" ht="15.75" thickBot="1">
      <c r="I85" s="17" t="s">
        <v>105</v>
      </c>
      <c r="J85" s="16">
        <f>J72</f>
        <v>423.23865228279715</v>
      </c>
      <c r="K85" s="16">
        <f aca="true" t="shared" si="10" ref="J85:N86">K72</f>
        <v>410.23499999999996</v>
      </c>
      <c r="L85" s="16">
        <f t="shared" si="10"/>
        <v>425.334</v>
      </c>
      <c r="M85" s="16">
        <f t="shared" si="10"/>
        <v>417.501</v>
      </c>
      <c r="N85" s="16">
        <f t="shared" si="10"/>
        <v>1676.308652282797</v>
      </c>
    </row>
    <row r="86" spans="9:14" ht="15.75" thickBot="1">
      <c r="I86" s="17" t="s">
        <v>106</v>
      </c>
      <c r="J86" s="16">
        <f t="shared" si="10"/>
        <v>784</v>
      </c>
      <c r="K86" s="16">
        <f t="shared" si="10"/>
        <v>784</v>
      </c>
      <c r="L86" s="16">
        <f t="shared" si="10"/>
        <v>784</v>
      </c>
      <c r="M86" s="16">
        <f t="shared" si="10"/>
        <v>784</v>
      </c>
      <c r="N86" s="16">
        <f t="shared" si="10"/>
        <v>3136</v>
      </c>
    </row>
    <row r="87" spans="9:14" ht="15.75" thickBot="1">
      <c r="I87" s="17" t="s">
        <v>107</v>
      </c>
      <c r="J87" s="16">
        <f>J74</f>
        <v>11950.393999229436</v>
      </c>
      <c r="K87" s="16">
        <f>K74</f>
        <v>11498.500000000002</v>
      </c>
      <c r="L87" s="16">
        <f>L74</f>
        <v>11992.5</v>
      </c>
      <c r="M87" s="16">
        <f>M74</f>
        <v>11726.000000000002</v>
      </c>
      <c r="N87" s="16">
        <f>N74</f>
        <v>47167.39399922944</v>
      </c>
    </row>
    <row r="88" spans="9:14" ht="31.5" thickBot="1">
      <c r="I88" s="17" t="s">
        <v>108</v>
      </c>
      <c r="J88" s="16">
        <f>J82+J83+J85+J86+J87</f>
        <v>64084.69630976691</v>
      </c>
      <c r="K88" s="16">
        <f>K82+K83+K85+K86+K87</f>
        <v>61694.035</v>
      </c>
      <c r="L88" s="16">
        <f>L82+L83+L85+L86+L87</f>
        <v>64308.334</v>
      </c>
      <c r="M88" s="16">
        <f>M82+M83+M85+M86+M87</f>
        <v>62898.301</v>
      </c>
      <c r="N88" s="16">
        <f>J88+K88+L88+M88</f>
        <v>252985.36630976692</v>
      </c>
    </row>
    <row r="89" spans="9:10" ht="13.5">
      <c r="I89" s="30" t="s">
        <v>110</v>
      </c>
      <c r="J89" s="31">
        <f>N88/N40</f>
        <v>69.72634023581413</v>
      </c>
    </row>
    <row r="91" ht="15.75" thickBot="1">
      <c r="J91" s="25" t="s">
        <v>134</v>
      </c>
    </row>
    <row r="92" spans="9:14" ht="15.75" thickBot="1">
      <c r="I92" s="59" t="s">
        <v>64</v>
      </c>
      <c r="J92" s="61" t="s">
        <v>54</v>
      </c>
      <c r="K92" s="62"/>
      <c r="L92" s="62"/>
      <c r="M92" s="63"/>
      <c r="N92" s="59" t="s">
        <v>65</v>
      </c>
    </row>
    <row r="93" spans="9:14" ht="15.75" thickBot="1">
      <c r="I93" s="60"/>
      <c r="J93" s="16" t="s">
        <v>56</v>
      </c>
      <c r="K93" s="16" t="s">
        <v>57</v>
      </c>
      <c r="L93" s="16" t="s">
        <v>58</v>
      </c>
      <c r="M93" s="16" t="s">
        <v>59</v>
      </c>
      <c r="N93" s="60"/>
    </row>
    <row r="94" spans="9:14" ht="15.75" thickBot="1">
      <c r="I94" s="17" t="s">
        <v>111</v>
      </c>
      <c r="J94" s="16">
        <f>1.7/100*$J$89*J27</f>
        <v>1031.252572087691</v>
      </c>
      <c r="K94" s="16">
        <f>1.7/100*$J$89*K27</f>
        <v>1043.1060499277796</v>
      </c>
      <c r="L94" s="16">
        <f>1.7/100*$J$89*L27</f>
        <v>1096.4467002081774</v>
      </c>
      <c r="M94" s="16">
        <f>1.7/100*$J$89*M27</f>
        <v>1066.8130056079565</v>
      </c>
      <c r="N94" s="16">
        <f>1.7/100*$J$89*N27</f>
        <v>4237.618327831605</v>
      </c>
    </row>
    <row r="95" spans="9:14" ht="15.75" thickBot="1">
      <c r="I95" s="17" t="s">
        <v>112</v>
      </c>
      <c r="J95" s="16">
        <f>B22/4+B24+B28+B28+B33+B34/4</f>
        <v>12935.5</v>
      </c>
      <c r="K95" s="16">
        <f>J95</f>
        <v>12935.5</v>
      </c>
      <c r="L95" s="16">
        <f>K95</f>
        <v>12935.5</v>
      </c>
      <c r="M95" s="16">
        <f>L95</f>
        <v>12935.5</v>
      </c>
      <c r="N95" s="16">
        <f>J95+K95+L95+M95</f>
        <v>51742</v>
      </c>
    </row>
    <row r="96" spans="9:14" ht="15.75" thickBot="1">
      <c r="I96" s="17" t="s">
        <v>96</v>
      </c>
      <c r="J96" s="16">
        <f>J94+J95</f>
        <v>13966.752572087691</v>
      </c>
      <c r="K96" s="16">
        <f>K94+K95</f>
        <v>13978.60604992778</v>
      </c>
      <c r="L96" s="16">
        <f>L94+L95</f>
        <v>14031.946700208176</v>
      </c>
      <c r="M96" s="16">
        <f>M94+M95</f>
        <v>14002.313005607957</v>
      </c>
      <c r="N96" s="16">
        <f>N94+N95</f>
        <v>55979.6183278316</v>
      </c>
    </row>
    <row r="97" spans="9:14" ht="31.5" thickBot="1">
      <c r="I97" s="17" t="s">
        <v>113</v>
      </c>
      <c r="J97" s="16">
        <v>523</v>
      </c>
      <c r="K97" s="16">
        <v>523</v>
      </c>
      <c r="L97" s="16">
        <v>523</v>
      </c>
      <c r="M97" s="16">
        <v>523</v>
      </c>
      <c r="N97" s="16">
        <f>J97*4</f>
        <v>2092</v>
      </c>
    </row>
    <row r="98" spans="9:14" ht="31.5" thickBot="1">
      <c r="I98" s="17" t="s">
        <v>114</v>
      </c>
      <c r="J98" s="16">
        <f>J96-J97</f>
        <v>13443.752572087691</v>
      </c>
      <c r="K98" s="16">
        <f>K96-K97</f>
        <v>13455.60604992778</v>
      </c>
      <c r="L98" s="16">
        <f>L96-L97</f>
        <v>13508.946700208176</v>
      </c>
      <c r="M98" s="16">
        <f>M96-M97</f>
        <v>13479.313005607957</v>
      </c>
      <c r="N98" s="16">
        <f>SUM(J98:M98)</f>
        <v>53887.6183278316</v>
      </c>
    </row>
    <row r="99" ht="14.25" thickBot="1">
      <c r="J99" s="22" t="s">
        <v>157</v>
      </c>
    </row>
    <row r="100" spans="9:14" ht="15.75" thickBot="1">
      <c r="I100" s="64"/>
      <c r="J100" s="61" t="s">
        <v>54</v>
      </c>
      <c r="K100" s="62"/>
      <c r="L100" s="62"/>
      <c r="M100" s="63"/>
      <c r="N100" s="59" t="s">
        <v>65</v>
      </c>
    </row>
    <row r="101" spans="9:14" ht="15.75" thickBot="1">
      <c r="I101" s="65"/>
      <c r="J101" s="16" t="s">
        <v>56</v>
      </c>
      <c r="K101" s="16" t="s">
        <v>57</v>
      </c>
      <c r="L101" s="16" t="s">
        <v>58</v>
      </c>
      <c r="M101" s="16" t="s">
        <v>59</v>
      </c>
      <c r="N101" s="60"/>
    </row>
    <row r="102" spans="7:14" ht="31.5" thickBot="1">
      <c r="G102">
        <v>63</v>
      </c>
      <c r="I102" s="17" t="s">
        <v>116</v>
      </c>
      <c r="J102" s="21">
        <v>3480</v>
      </c>
      <c r="K102" s="21" t="s">
        <v>135</v>
      </c>
      <c r="L102" s="21" t="s">
        <v>135</v>
      </c>
      <c r="M102" s="21" t="s">
        <v>135</v>
      </c>
      <c r="N102" s="21"/>
    </row>
    <row r="103" spans="7:14" ht="30.75">
      <c r="G103">
        <v>35</v>
      </c>
      <c r="I103" s="18" t="s">
        <v>117</v>
      </c>
      <c r="J103" s="59" t="s">
        <v>99</v>
      </c>
      <c r="K103" s="59" t="s">
        <v>99</v>
      </c>
      <c r="L103" s="59" t="s">
        <v>99</v>
      </c>
      <c r="M103" s="59" t="s">
        <v>99</v>
      </c>
      <c r="N103" s="59" t="s">
        <v>99</v>
      </c>
    </row>
    <row r="104" spans="9:14" ht="15.75" thickBot="1">
      <c r="I104" s="17" t="s">
        <v>118</v>
      </c>
      <c r="J104" s="60"/>
      <c r="K104" s="60"/>
      <c r="L104" s="60"/>
      <c r="M104" s="60"/>
      <c r="N104" s="60"/>
    </row>
    <row r="105" spans="9:14" ht="15.75" thickBot="1">
      <c r="I105" s="17" t="s">
        <v>119</v>
      </c>
      <c r="J105" s="16">
        <f>J29*63%</f>
        <v>59194.8</v>
      </c>
      <c r="K105" s="16">
        <f>J29*35%</f>
        <v>32886</v>
      </c>
      <c r="L105" s="16"/>
      <c r="M105" s="16"/>
      <c r="N105" s="16"/>
    </row>
    <row r="106" spans="9:14" ht="15.75" thickBot="1">
      <c r="I106" s="17" t="s">
        <v>120</v>
      </c>
      <c r="J106" s="16"/>
      <c r="K106" s="16">
        <f>K29*63%</f>
        <v>59875.2</v>
      </c>
      <c r="L106" s="16">
        <f>K29*35%</f>
        <v>33264</v>
      </c>
      <c r="M106" s="16"/>
      <c r="N106" s="16"/>
    </row>
    <row r="107" spans="9:14" ht="15.75" thickBot="1">
      <c r="I107" s="17" t="s">
        <v>121</v>
      </c>
      <c r="J107" s="16"/>
      <c r="K107" s="16"/>
      <c r="L107" s="16">
        <f>L29*63%</f>
        <v>62937</v>
      </c>
      <c r="M107" s="16">
        <f>L29*35%</f>
        <v>34965</v>
      </c>
      <c r="N107" s="16"/>
    </row>
    <row r="108" spans="9:14" ht="15.75" thickBot="1">
      <c r="I108" s="17" t="s">
        <v>122</v>
      </c>
      <c r="J108" s="16"/>
      <c r="K108" s="16"/>
      <c r="L108" s="16"/>
      <c r="M108" s="16">
        <f>M29*63%</f>
        <v>61236</v>
      </c>
      <c r="N108" s="16"/>
    </row>
    <row r="109" spans="9:14" ht="31.5" thickBot="1">
      <c r="I109" s="17" t="s">
        <v>123</v>
      </c>
      <c r="J109" s="16"/>
      <c r="K109" s="16"/>
      <c r="L109" s="16"/>
      <c r="M109" s="16"/>
      <c r="N109" s="16"/>
    </row>
    <row r="110" spans="9:14" ht="31.5" thickBot="1">
      <c r="I110" s="17" t="s">
        <v>124</v>
      </c>
      <c r="J110" s="16"/>
      <c r="K110" s="16"/>
      <c r="L110" s="16"/>
      <c r="M110" s="16">
        <f>M29*35%</f>
        <v>34020</v>
      </c>
      <c r="N110" s="16"/>
    </row>
    <row r="111" ht="14.25" thickBot="1"/>
    <row r="112" spans="9:14" ht="15.75" thickBot="1">
      <c r="I112" s="59" t="s">
        <v>64</v>
      </c>
      <c r="J112" s="61" t="s">
        <v>54</v>
      </c>
      <c r="K112" s="62"/>
      <c r="L112" s="62"/>
      <c r="M112" s="63"/>
      <c r="N112" s="59" t="s">
        <v>65</v>
      </c>
    </row>
    <row r="113" spans="9:14" ht="15.75" thickBot="1">
      <c r="I113" s="60"/>
      <c r="J113" s="16" t="s">
        <v>56</v>
      </c>
      <c r="K113" s="16" t="s">
        <v>57</v>
      </c>
      <c r="L113" s="16" t="s">
        <v>58</v>
      </c>
      <c r="M113" s="16" t="s">
        <v>59</v>
      </c>
      <c r="N113" s="60"/>
    </row>
    <row r="114" spans="9:14" ht="15.75" thickBot="1">
      <c r="I114" s="17" t="s">
        <v>125</v>
      </c>
      <c r="J114" s="16">
        <f>2/100*J29</f>
        <v>1879.2</v>
      </c>
      <c r="K114" s="16">
        <f>2/100*K29</f>
        <v>1900.8</v>
      </c>
      <c r="L114" s="16">
        <f>2/100*L29</f>
        <v>1998</v>
      </c>
      <c r="M114" s="16">
        <f>2/100*M29</f>
        <v>1944</v>
      </c>
      <c r="N114" s="16">
        <f>J114+K114+L114+M114</f>
        <v>7722</v>
      </c>
    </row>
    <row r="115" ht="14.25" thickBot="1"/>
    <row r="116" spans="9:14" ht="15.75" thickBot="1">
      <c r="I116" s="59" t="s">
        <v>64</v>
      </c>
      <c r="J116" s="61" t="s">
        <v>54</v>
      </c>
      <c r="K116" s="62"/>
      <c r="L116" s="62"/>
      <c r="M116" s="63"/>
      <c r="N116" s="59" t="s">
        <v>65</v>
      </c>
    </row>
    <row r="117" spans="9:14" ht="15.75" thickBot="1">
      <c r="I117" s="60"/>
      <c r="J117" s="16" t="s">
        <v>56</v>
      </c>
      <c r="K117" s="16" t="s">
        <v>57</v>
      </c>
      <c r="L117" s="16" t="s">
        <v>58</v>
      </c>
      <c r="M117" s="16" t="s">
        <v>59</v>
      </c>
      <c r="N117" s="60"/>
    </row>
    <row r="118" spans="9:14" ht="31.5" thickBot="1">
      <c r="I118" s="17" t="s">
        <v>126</v>
      </c>
      <c r="J118">
        <v>3200</v>
      </c>
      <c r="N118" s="21"/>
    </row>
    <row r="119" spans="7:14" ht="30.75">
      <c r="G119">
        <v>37</v>
      </c>
      <c r="I119" s="18" t="s">
        <v>127</v>
      </c>
      <c r="J119" s="59"/>
      <c r="K119" s="59"/>
      <c r="L119" s="59"/>
      <c r="M119" s="59"/>
      <c r="N119" s="59"/>
    </row>
    <row r="120" spans="9:14" ht="15.75" thickBot="1">
      <c r="I120" s="17" t="s">
        <v>128</v>
      </c>
      <c r="J120" s="60"/>
      <c r="K120" s="60"/>
      <c r="L120" s="60"/>
      <c r="M120" s="60"/>
      <c r="N120" s="60"/>
    </row>
    <row r="121" spans="9:14" ht="18.75" thickBot="1">
      <c r="I121" s="17" t="s">
        <v>119</v>
      </c>
      <c r="J121" s="21">
        <f>65/100*J56</f>
        <v>16925.29159892121</v>
      </c>
      <c r="K121" s="16">
        <f>35/100*J56</f>
        <v>9113.618553265265</v>
      </c>
      <c r="L121" s="16"/>
      <c r="M121" s="16"/>
      <c r="N121" s="16"/>
    </row>
    <row r="122" spans="9:14" ht="15.75" thickBot="1">
      <c r="I122" s="17" t="s">
        <v>120</v>
      </c>
      <c r="J122" s="16"/>
      <c r="K122" s="16">
        <f>65/100*K56</f>
        <v>16167.06</v>
      </c>
      <c r="L122" s="16">
        <f>35/100*K56</f>
        <v>8705.339999999998</v>
      </c>
      <c r="M122" s="16"/>
      <c r="N122" s="16"/>
    </row>
    <row r="123" spans="9:14" ht="15.75" thickBot="1">
      <c r="I123" s="17" t="s">
        <v>121</v>
      </c>
      <c r="J123" s="16"/>
      <c r="K123" s="16"/>
      <c r="L123" s="16">
        <f>65/100*L56</f>
        <v>16752.190000000002</v>
      </c>
      <c r="M123" s="16">
        <f>35/100*L56</f>
        <v>9020.41</v>
      </c>
      <c r="N123" s="16"/>
    </row>
    <row r="124" spans="9:14" ht="15.75" thickBot="1">
      <c r="I124" s="17" t="s">
        <v>122</v>
      </c>
      <c r="J124" s="16"/>
      <c r="K124" s="16"/>
      <c r="L124" s="16"/>
      <c r="M124" s="16">
        <f>65/100*M56</f>
        <v>16450.069999999996</v>
      </c>
      <c r="N124" s="16"/>
    </row>
    <row r="125" spans="9:14" ht="31.5" thickBot="1">
      <c r="I125" s="17" t="s">
        <v>129</v>
      </c>
      <c r="J125" s="16"/>
      <c r="K125" s="16"/>
      <c r="L125" s="16"/>
      <c r="M125" s="16"/>
      <c r="N125" s="16"/>
    </row>
    <row r="126" spans="9:14" ht="15.75" thickBot="1">
      <c r="I126" s="17" t="s">
        <v>130</v>
      </c>
      <c r="J126" s="16"/>
      <c r="K126" s="16"/>
      <c r="L126" s="16"/>
      <c r="M126" s="16">
        <f>35/100*M56</f>
        <v>8857.729999999998</v>
      </c>
      <c r="N126" s="16"/>
    </row>
    <row r="127" ht="14.25" thickBot="1"/>
    <row r="128" spans="9:14" ht="15.75" thickBot="1">
      <c r="I128" s="59" t="s">
        <v>64</v>
      </c>
      <c r="J128" s="61" t="s">
        <v>54</v>
      </c>
      <c r="K128" s="62"/>
      <c r="L128" s="62"/>
      <c r="M128" s="63"/>
      <c r="N128" s="59" t="s">
        <v>65</v>
      </c>
    </row>
    <row r="129" spans="9:14" ht="15.75" thickBot="1">
      <c r="I129" s="60"/>
      <c r="J129" s="16" t="s">
        <v>56</v>
      </c>
      <c r="K129" s="16" t="s">
        <v>57</v>
      </c>
      <c r="L129" s="16" t="s">
        <v>58</v>
      </c>
      <c r="M129" s="16" t="s">
        <v>59</v>
      </c>
      <c r="N129" s="60"/>
    </row>
    <row r="130" spans="9:14" ht="18.75" thickBot="1">
      <c r="I130" s="17" t="s">
        <v>136</v>
      </c>
      <c r="J130" s="69">
        <v>3000</v>
      </c>
      <c r="K130" s="70">
        <f>J156</f>
        <v>8751.364046410672</v>
      </c>
      <c r="L130" s="71">
        <f>K156</f>
        <v>16991.351318217625</v>
      </c>
      <c r="M130" s="71">
        <f>L156</f>
        <v>28231.771993009446</v>
      </c>
      <c r="N130" s="70"/>
    </row>
    <row r="131" spans="9:14" ht="15.75" thickBot="1">
      <c r="I131" s="17" t="s">
        <v>137</v>
      </c>
      <c r="J131" s="70">
        <v>0</v>
      </c>
      <c r="K131" s="70">
        <v>0</v>
      </c>
      <c r="L131" s="70">
        <v>0</v>
      </c>
      <c r="M131" s="70">
        <v>0</v>
      </c>
      <c r="N131" s="70">
        <v>0</v>
      </c>
    </row>
    <row r="132" spans="9:14" ht="15.75" thickBot="1">
      <c r="I132" s="17" t="s">
        <v>138</v>
      </c>
      <c r="J132" s="70">
        <f>J105</f>
        <v>59194.8</v>
      </c>
      <c r="K132" s="70">
        <f>K105+K106</f>
        <v>92761.2</v>
      </c>
      <c r="L132" s="70">
        <f>L106+L107</f>
        <v>96201</v>
      </c>
      <c r="M132" s="70">
        <f>M107+M108</f>
        <v>96201</v>
      </c>
      <c r="N132" s="70">
        <f>J132+K132+L132+M132</f>
        <v>344358</v>
      </c>
    </row>
    <row r="133" spans="9:14" ht="31.5" thickBot="1">
      <c r="I133" s="17" t="s">
        <v>139</v>
      </c>
      <c r="J133" s="70">
        <v>3480</v>
      </c>
      <c r="K133" s="70"/>
      <c r="L133" s="70"/>
      <c r="M133" s="70"/>
      <c r="N133" s="70">
        <v>3480</v>
      </c>
    </row>
    <row r="134" spans="9:15" ht="31.5" thickBot="1">
      <c r="I134" s="17" t="s">
        <v>160</v>
      </c>
      <c r="J134" s="70">
        <v>0</v>
      </c>
      <c r="K134" s="70">
        <v>0</v>
      </c>
      <c r="L134" s="70">
        <v>0</v>
      </c>
      <c r="M134" s="70">
        <v>0</v>
      </c>
      <c r="N134" s="70">
        <v>0</v>
      </c>
      <c r="O134" s="22" t="s">
        <v>158</v>
      </c>
    </row>
    <row r="135" spans="9:14" ht="15.75" thickBot="1">
      <c r="I135" s="32" t="s">
        <v>161</v>
      </c>
      <c r="J135" s="70">
        <f>5/100*J149/4</f>
        <v>21.294375000000002</v>
      </c>
      <c r="K135" s="70">
        <f>5/100*J149/4</f>
        <v>21.294375000000002</v>
      </c>
      <c r="L135" s="70">
        <f>5/100*J149/4</f>
        <v>21.294375000000002</v>
      </c>
      <c r="M135" s="70">
        <f>5/100/4*J149*0.6</f>
        <v>12.776625000000001</v>
      </c>
      <c r="N135" s="70">
        <f>J135+K135+L135+M135</f>
        <v>76.65975</v>
      </c>
    </row>
    <row r="136" spans="9:14" ht="15.75" thickBot="1">
      <c r="I136" s="17" t="s">
        <v>162</v>
      </c>
      <c r="J136" s="70">
        <v>0</v>
      </c>
      <c r="K136" s="70">
        <v>0</v>
      </c>
      <c r="L136" s="70">
        <f>J149*0.4*1.1</f>
        <v>749.5620000000001</v>
      </c>
      <c r="M136" s="70">
        <v>0</v>
      </c>
      <c r="N136" s="70" t="s">
        <v>99</v>
      </c>
    </row>
    <row r="137" spans="9:14" ht="15.75" thickBot="1">
      <c r="I137" s="17" t="s">
        <v>140</v>
      </c>
      <c r="J137" s="70">
        <f>SUM(J130:J136)</f>
        <v>65696.094375</v>
      </c>
      <c r="K137" s="70">
        <f>SUM(K130:K136)</f>
        <v>101533.85842141067</v>
      </c>
      <c r="L137" s="70">
        <f>SUM(L130:L136)</f>
        <v>113963.20769321763</v>
      </c>
      <c r="M137" s="70">
        <f>SUM(M130:M136)</f>
        <v>124445.54861800944</v>
      </c>
      <c r="N137" s="70">
        <f>SUM(N130:N136)</f>
        <v>347914.65975</v>
      </c>
    </row>
    <row r="138" spans="9:14" ht="15.75" thickBot="1">
      <c r="I138" s="17" t="s">
        <v>141</v>
      </c>
      <c r="J138" s="70"/>
      <c r="K138" s="70"/>
      <c r="L138" s="70"/>
      <c r="M138" s="70"/>
      <c r="N138" s="70"/>
    </row>
    <row r="139" spans="9:14" ht="15.75" thickBot="1">
      <c r="I139" s="17" t="s">
        <v>142</v>
      </c>
      <c r="J139" s="70">
        <f>J121</f>
        <v>16925.29159892121</v>
      </c>
      <c r="K139" s="70">
        <f>K121+K122</f>
        <v>25280.678553265265</v>
      </c>
      <c r="L139" s="70">
        <f>L122+L123</f>
        <v>25457.53</v>
      </c>
      <c r="M139" s="70">
        <f>M123+M124</f>
        <v>25470.479999999996</v>
      </c>
      <c r="N139" s="70">
        <f>J139+K139+L139+M139</f>
        <v>93133.98015218647</v>
      </c>
    </row>
    <row r="140" spans="9:14" ht="31.5" thickBot="1">
      <c r="I140" s="17" t="s">
        <v>143</v>
      </c>
      <c r="J140" s="70">
        <f>J118</f>
        <v>3200</v>
      </c>
      <c r="K140" s="70"/>
      <c r="L140" s="70"/>
      <c r="M140" s="70"/>
      <c r="N140" s="70"/>
    </row>
    <row r="141" spans="9:14" ht="31.5" thickBot="1">
      <c r="I141" s="17" t="s">
        <v>144</v>
      </c>
      <c r="J141" s="70">
        <v>0</v>
      </c>
      <c r="K141" s="70">
        <v>0</v>
      </c>
      <c r="L141" s="70">
        <v>0</v>
      </c>
      <c r="M141" s="70">
        <v>0</v>
      </c>
      <c r="N141" s="70" t="s">
        <v>166</v>
      </c>
    </row>
    <row r="142" spans="9:14" ht="15.75" thickBot="1">
      <c r="I142" s="33" t="s">
        <v>163</v>
      </c>
      <c r="J142" s="70">
        <v>3957</v>
      </c>
      <c r="K142" s="70"/>
      <c r="L142" s="70"/>
      <c r="M142" s="70"/>
      <c r="N142" s="70"/>
    </row>
    <row r="143" spans="9:14" ht="31.5" thickBot="1">
      <c r="I143" s="17" t="s">
        <v>164</v>
      </c>
      <c r="J143" s="70">
        <f>3550/4</f>
        <v>887.5</v>
      </c>
      <c r="K143" s="70">
        <v>887.5</v>
      </c>
      <c r="L143" s="70">
        <v>887.5</v>
      </c>
      <c r="M143" s="70">
        <v>887.5</v>
      </c>
      <c r="N143" s="70">
        <f>J143+K143+L143+M143</f>
        <v>3550</v>
      </c>
    </row>
    <row r="144" spans="7:14" ht="15.75" thickBot="1">
      <c r="G144">
        <v>30</v>
      </c>
      <c r="I144" s="17" t="s">
        <v>165</v>
      </c>
      <c r="J144" s="70">
        <f>30/100*N143/4</f>
        <v>266.25</v>
      </c>
      <c r="K144" s="70">
        <f>(N143-K143)*30/100/4</f>
        <v>199.6875</v>
      </c>
      <c r="L144" s="70">
        <f>($N$143-L143*2)*30/100/4</f>
        <v>133.125</v>
      </c>
      <c r="M144" s="70">
        <f>($N$143-M143*3)*30/100/4</f>
        <v>66.5625</v>
      </c>
      <c r="N144" s="70">
        <f>J144+K144+L144+M144</f>
        <v>665.625</v>
      </c>
    </row>
    <row r="145" spans="9:14" ht="15.75" thickBot="1">
      <c r="I145" s="17" t="s">
        <v>145</v>
      </c>
      <c r="J145" s="70">
        <f>J66</f>
        <v>25187.753506068195</v>
      </c>
      <c r="K145" s="70">
        <f>K66</f>
        <v>24235.3</v>
      </c>
      <c r="L145" s="70">
        <f>L66</f>
        <v>25276.5</v>
      </c>
      <c r="M145" s="70">
        <f>M66</f>
        <v>24714.8</v>
      </c>
      <c r="N145" s="70">
        <f>N66</f>
        <v>99414.35350606819</v>
      </c>
    </row>
    <row r="146" spans="9:14" ht="31.5" thickBot="1">
      <c r="I146" s="17" t="s">
        <v>146</v>
      </c>
      <c r="J146" s="70">
        <f>J77</f>
        <v>12373.632651512233</v>
      </c>
      <c r="K146" s="70">
        <f>K77</f>
        <v>11908.735000000002</v>
      </c>
      <c r="L146" s="70">
        <f>L77</f>
        <v>12417.834</v>
      </c>
      <c r="M146" s="70">
        <f>M77</f>
        <v>12143.501000000002</v>
      </c>
      <c r="N146" s="70">
        <f>N77</f>
        <v>48843.70265151224</v>
      </c>
    </row>
    <row r="147" spans="9:14" ht="31.5" thickBot="1">
      <c r="I147" s="17" t="s">
        <v>147</v>
      </c>
      <c r="J147" s="70">
        <f>J98</f>
        <v>13443.752572087691</v>
      </c>
      <c r="K147" s="70">
        <f>K98</f>
        <v>13455.60604992778</v>
      </c>
      <c r="L147" s="70">
        <f>L98</f>
        <v>13508.946700208176</v>
      </c>
      <c r="M147" s="70">
        <f>M98</f>
        <v>13479.313005607957</v>
      </c>
      <c r="N147" s="70">
        <f>N98</f>
        <v>53887.6183278316</v>
      </c>
    </row>
    <row r="148" spans="9:14" ht="15.75" thickBot="1">
      <c r="I148" s="17" t="s">
        <v>148</v>
      </c>
      <c r="J148" s="70"/>
      <c r="K148" s="70"/>
      <c r="L148" s="70"/>
      <c r="M148" s="70">
        <v>8000</v>
      </c>
      <c r="N148" s="70"/>
    </row>
    <row r="149" spans="9:14" ht="31.5" thickBot="1">
      <c r="I149" s="17" t="s">
        <v>159</v>
      </c>
      <c r="J149" s="70">
        <f>15/100*11357</f>
        <v>1703.55</v>
      </c>
      <c r="K149" s="70"/>
      <c r="L149" s="70"/>
      <c r="M149" s="70"/>
      <c r="N149" s="70"/>
    </row>
    <row r="150" spans="9:14" ht="31.5" thickBot="1">
      <c r="I150" s="17" t="s">
        <v>149</v>
      </c>
      <c r="J150" s="70">
        <f>SUM(J139:J149)</f>
        <v>77944.73032858933</v>
      </c>
      <c r="K150" s="70">
        <f>SUM(K139:K149)</f>
        <v>75967.50710319304</v>
      </c>
      <c r="L150" s="70">
        <f>SUM(L139:L149)</f>
        <v>77681.43570020818</v>
      </c>
      <c r="M150" s="70">
        <f>SUM(M139:M149)</f>
        <v>84762.15650560796</v>
      </c>
      <c r="N150" s="70">
        <f>SUM(N139:N149)</f>
        <v>299495.2796375985</v>
      </c>
    </row>
    <row r="151" spans="9:14" ht="31.5" thickBot="1">
      <c r="I151" s="17" t="s">
        <v>150</v>
      </c>
      <c r="J151" s="70">
        <f>J137-J150</f>
        <v>-12248.635953589328</v>
      </c>
      <c r="K151" s="70">
        <f>K137-K150</f>
        <v>25566.351318217625</v>
      </c>
      <c r="L151" s="70">
        <f>L137-L150</f>
        <v>36281.771993009446</v>
      </c>
      <c r="M151" s="70">
        <f>M137-M150</f>
        <v>39683.39211240149</v>
      </c>
      <c r="N151" s="70">
        <f>J151+K151+L151+M151</f>
        <v>89282.87947003923</v>
      </c>
    </row>
    <row r="152" spans="9:14" ht="15">
      <c r="I152" s="18" t="s">
        <v>151</v>
      </c>
      <c r="J152" s="72">
        <v>21000</v>
      </c>
      <c r="K152" s="72"/>
      <c r="L152" s="72"/>
      <c r="M152" s="72"/>
      <c r="N152" s="72"/>
    </row>
    <row r="153" spans="7:14" ht="15.75" thickBot="1">
      <c r="G153">
        <f>J139+J140+J142+J143+J144+J145+J146+J147+J149</f>
        <v>77944.73032858933</v>
      </c>
      <c r="I153" s="17" t="s">
        <v>152</v>
      </c>
      <c r="J153" s="73"/>
      <c r="K153" s="73"/>
      <c r="L153" s="73"/>
      <c r="M153" s="73"/>
      <c r="N153" s="73"/>
    </row>
    <row r="154" spans="9:14" ht="15.75" thickBot="1">
      <c r="I154" s="17" t="s">
        <v>153</v>
      </c>
      <c r="J154" s="70">
        <v>0</v>
      </c>
      <c r="K154" s="70">
        <v>7000</v>
      </c>
      <c r="L154" s="70">
        <v>7000</v>
      </c>
      <c r="M154" s="70">
        <v>7000</v>
      </c>
      <c r="N154" s="70"/>
    </row>
    <row r="155" spans="9:14" ht="31.5" thickBot="1">
      <c r="I155" s="17" t="s">
        <v>154</v>
      </c>
      <c r="J155" s="70">
        <v>0</v>
      </c>
      <c r="K155" s="71">
        <f>G144/100*J152/4</f>
        <v>1575</v>
      </c>
      <c r="L155" s="71">
        <f>G144/100/4*(J152-K154)</f>
        <v>1050</v>
      </c>
      <c r="M155" s="71">
        <f>G144/100/4*(J152-K154-L154)</f>
        <v>525</v>
      </c>
      <c r="N155" s="70"/>
    </row>
    <row r="156" spans="9:14" ht="31.5" thickBot="1">
      <c r="I156" s="17" t="s">
        <v>155</v>
      </c>
      <c r="J156" s="70">
        <f>J151+J152-J154-J155</f>
        <v>8751.364046410672</v>
      </c>
      <c r="K156" s="70">
        <f>K151+K152-K154-K155</f>
        <v>16991.351318217625</v>
      </c>
      <c r="L156" s="70">
        <f>L151+L152-L154-L155</f>
        <v>28231.771993009446</v>
      </c>
      <c r="M156" s="70">
        <f>M151+M152-M154-M155</f>
        <v>32158.39211240149</v>
      </c>
      <c r="N156" s="70"/>
    </row>
    <row r="157" spans="9:14" ht="31.5" thickBot="1">
      <c r="I157" s="17" t="s">
        <v>156</v>
      </c>
      <c r="J157" s="16">
        <v>1200</v>
      </c>
      <c r="K157" s="16">
        <v>1200</v>
      </c>
      <c r="L157" s="16">
        <v>1200</v>
      </c>
      <c r="M157" s="16">
        <v>1200</v>
      </c>
      <c r="N157" s="16">
        <v>1200</v>
      </c>
    </row>
    <row r="161" ht="15">
      <c r="I161" s="35" t="s">
        <v>167</v>
      </c>
    </row>
    <row r="162" ht="15.75" thickBot="1">
      <c r="I162" s="35" t="s">
        <v>168</v>
      </c>
    </row>
    <row r="163" spans="9:11" ht="15.75" thickBot="1">
      <c r="I163" s="36" t="s">
        <v>169</v>
      </c>
      <c r="J163" s="37"/>
      <c r="K163" s="38"/>
    </row>
    <row r="164" ht="15.75" thickBot="1">
      <c r="I164" s="35" t="s">
        <v>170</v>
      </c>
    </row>
    <row r="165" spans="9:12" ht="47.25" thickBot="1">
      <c r="I165" s="39" t="s">
        <v>171</v>
      </c>
      <c r="J165" s="38" t="s">
        <v>172</v>
      </c>
      <c r="K165" s="38" t="s">
        <v>173</v>
      </c>
      <c r="L165" s="38" t="s">
        <v>174</v>
      </c>
    </row>
    <row r="166" spans="9:12" ht="15.75" thickBot="1">
      <c r="I166" s="40">
        <v>1</v>
      </c>
      <c r="J166" s="41">
        <v>2</v>
      </c>
      <c r="K166" s="41">
        <v>3</v>
      </c>
      <c r="L166" s="41">
        <v>4</v>
      </c>
    </row>
    <row r="167" spans="9:12" ht="31.5" thickBot="1">
      <c r="I167" s="42" t="s">
        <v>175</v>
      </c>
      <c r="J167" s="41">
        <v>2000</v>
      </c>
      <c r="K167" s="41">
        <f>N29</f>
        <v>386100</v>
      </c>
      <c r="L167" s="41"/>
    </row>
    <row r="168" spans="9:12" ht="31.5" thickBot="1">
      <c r="I168" s="42" t="s">
        <v>176</v>
      </c>
      <c r="J168" s="41">
        <v>2050</v>
      </c>
      <c r="K168" s="68">
        <f>B10+(N27-B10/B44)*J89</f>
        <v>249270.543008072</v>
      </c>
      <c r="L168" s="41" t="s">
        <v>177</v>
      </c>
    </row>
    <row r="169" spans="9:12" ht="15">
      <c r="I169" s="43" t="s">
        <v>178</v>
      </c>
      <c r="J169" s="45"/>
      <c r="K169" s="66">
        <f>K167-K168</f>
        <v>136829.456991928</v>
      </c>
      <c r="L169" s="66"/>
    </row>
    <row r="170" spans="9:12" ht="15.75" thickBot="1">
      <c r="I170" s="44" t="s">
        <v>179</v>
      </c>
      <c r="J170" s="37">
        <v>2090</v>
      </c>
      <c r="K170" s="67"/>
      <c r="L170" s="67"/>
    </row>
    <row r="171" spans="9:12" ht="15.75" thickBot="1">
      <c r="I171" s="46" t="s">
        <v>180</v>
      </c>
      <c r="J171" s="38">
        <v>2095</v>
      </c>
      <c r="K171" s="38" t="s">
        <v>177</v>
      </c>
      <c r="L171" s="38" t="s">
        <v>177</v>
      </c>
    </row>
    <row r="172" spans="9:12" ht="15.75" thickBot="1">
      <c r="I172" s="42" t="s">
        <v>181</v>
      </c>
      <c r="J172" s="41">
        <v>2120</v>
      </c>
      <c r="K172" s="41">
        <v>0</v>
      </c>
      <c r="L172" s="41"/>
    </row>
    <row r="173" spans="9:12" ht="15.75" thickBot="1">
      <c r="I173" s="42" t="s">
        <v>182</v>
      </c>
      <c r="J173" s="41">
        <v>2130</v>
      </c>
      <c r="K173" s="41">
        <f>N95</f>
        <v>51742</v>
      </c>
      <c r="L173" s="41" t="s">
        <v>177</v>
      </c>
    </row>
    <row r="174" spans="9:12" ht="15.75" thickBot="1">
      <c r="I174" s="42" t="s">
        <v>183</v>
      </c>
      <c r="J174" s="41">
        <v>2150</v>
      </c>
      <c r="K174" s="41">
        <f>N94</f>
        <v>4237.618327831605</v>
      </c>
      <c r="L174" s="41" t="s">
        <v>177</v>
      </c>
    </row>
    <row r="175" spans="9:12" ht="15.75" thickBot="1">
      <c r="I175" s="42" t="s">
        <v>184</v>
      </c>
      <c r="J175" s="41">
        <v>2180</v>
      </c>
      <c r="K175" s="41">
        <f>N114</f>
        <v>7722</v>
      </c>
      <c r="L175" s="41" t="s">
        <v>177</v>
      </c>
    </row>
    <row r="176" spans="9:12" ht="30.75">
      <c r="I176" s="43" t="s">
        <v>185</v>
      </c>
      <c r="J176" s="45"/>
      <c r="K176" s="66">
        <f>K169+K172-K173-K174-K175</f>
        <v>73127.83866409639</v>
      </c>
      <c r="L176" s="66"/>
    </row>
    <row r="177" spans="9:12" ht="15.75" thickBot="1">
      <c r="I177" s="44" t="s">
        <v>179</v>
      </c>
      <c r="J177" s="37">
        <v>2190</v>
      </c>
      <c r="K177" s="67"/>
      <c r="L177" s="67"/>
    </row>
    <row r="178" spans="9:12" ht="15.75" thickBot="1">
      <c r="I178" s="46" t="s">
        <v>180</v>
      </c>
      <c r="J178" s="38">
        <v>2195</v>
      </c>
      <c r="K178" s="38" t="s">
        <v>177</v>
      </c>
      <c r="L178" s="38" t="s">
        <v>177</v>
      </c>
    </row>
    <row r="179" spans="9:17" ht="31.5" thickBot="1">
      <c r="I179" s="42" t="s">
        <v>186</v>
      </c>
      <c r="J179" s="41">
        <v>2200</v>
      </c>
      <c r="K179" s="41">
        <v>0</v>
      </c>
      <c r="L179" s="41"/>
      <c r="Q179" t="s">
        <v>233</v>
      </c>
    </row>
    <row r="180" spans="9:12" ht="31.5" thickBot="1">
      <c r="I180" s="42" t="s">
        <v>234</v>
      </c>
      <c r="J180" s="41">
        <v>2220</v>
      </c>
      <c r="K180" s="74">
        <f>N135</f>
        <v>76.65975</v>
      </c>
      <c r="L180" s="41"/>
    </row>
    <row r="181" spans="9:12" ht="31.5" thickBot="1">
      <c r="I181" s="42" t="s">
        <v>235</v>
      </c>
      <c r="J181" s="41">
        <v>2240</v>
      </c>
      <c r="K181" s="41">
        <f>L136</f>
        <v>749.5620000000001</v>
      </c>
      <c r="L181" s="41"/>
    </row>
    <row r="182" spans="9:12" ht="31.5" thickBot="1">
      <c r="I182" s="42" t="s">
        <v>236</v>
      </c>
      <c r="J182" s="41">
        <v>2250</v>
      </c>
      <c r="K182" s="74">
        <f>N144+K155+L155+M155</f>
        <v>3815.625</v>
      </c>
      <c r="L182" s="41" t="s">
        <v>177</v>
      </c>
    </row>
    <row r="183" spans="9:12" ht="31.5" thickBot="1">
      <c r="I183" s="42" t="s">
        <v>187</v>
      </c>
      <c r="J183" s="41">
        <v>2255</v>
      </c>
      <c r="K183" s="41">
        <v>0</v>
      </c>
      <c r="L183" s="41" t="s">
        <v>177</v>
      </c>
    </row>
    <row r="184" spans="9:12" ht="31.5" thickBot="1">
      <c r="I184" s="42" t="s">
        <v>237</v>
      </c>
      <c r="J184" s="41">
        <v>2270</v>
      </c>
      <c r="K184" s="41">
        <f>J149*0.4</f>
        <v>681.4200000000001</v>
      </c>
      <c r="L184" s="41" t="s">
        <v>177</v>
      </c>
    </row>
    <row r="185" spans="9:12" ht="30.75">
      <c r="I185" s="47" t="s">
        <v>188</v>
      </c>
      <c r="J185" s="45"/>
      <c r="K185" s="75">
        <f>K176+K179+K180+K181-K182-K183-K184</f>
        <v>69457.0154140964</v>
      </c>
      <c r="L185" s="66"/>
    </row>
    <row r="186" spans="9:12" ht="15.75" thickBot="1">
      <c r="I186" s="44" t="s">
        <v>179</v>
      </c>
      <c r="J186" s="37">
        <v>2290</v>
      </c>
      <c r="K186" s="67"/>
      <c r="L186" s="67"/>
    </row>
    <row r="187" spans="9:12" ht="15.75" thickBot="1">
      <c r="I187" s="46" t="s">
        <v>180</v>
      </c>
      <c r="J187" s="38">
        <v>2295</v>
      </c>
      <c r="K187" s="38" t="s">
        <v>177</v>
      </c>
      <c r="L187" s="38" t="s">
        <v>177</v>
      </c>
    </row>
    <row r="188" spans="9:12" ht="15.75" thickBot="1">
      <c r="I188" s="42" t="s">
        <v>189</v>
      </c>
      <c r="J188" s="41">
        <v>2300</v>
      </c>
      <c r="K188" s="41">
        <f>25%*K185</f>
        <v>17364.2538535241</v>
      </c>
      <c r="L188" s="41"/>
    </row>
    <row r="189" spans="9:12" ht="31.5" thickBot="1">
      <c r="I189" s="42" t="s">
        <v>190</v>
      </c>
      <c r="J189" s="41">
        <v>2305</v>
      </c>
      <c r="K189" s="41"/>
      <c r="L189" s="41"/>
    </row>
    <row r="190" spans="9:12" ht="15">
      <c r="I190" s="43" t="s">
        <v>191</v>
      </c>
      <c r="J190" s="45"/>
      <c r="K190" s="75">
        <f>K185-K188</f>
        <v>52092.7615605723</v>
      </c>
      <c r="L190" s="66"/>
    </row>
    <row r="191" spans="9:12" ht="15.75" thickBot="1">
      <c r="I191" s="44" t="s">
        <v>179</v>
      </c>
      <c r="J191" s="37">
        <v>2350</v>
      </c>
      <c r="K191" s="67"/>
      <c r="L191" s="67"/>
    </row>
    <row r="192" spans="9:12" ht="15.75" thickBot="1">
      <c r="I192" s="46" t="s">
        <v>180</v>
      </c>
      <c r="J192" s="38">
        <v>2355</v>
      </c>
      <c r="K192" s="38" t="s">
        <v>177</v>
      </c>
      <c r="L192" s="38" t="s">
        <v>177</v>
      </c>
    </row>
    <row r="193" ht="15.75" thickBot="1">
      <c r="I193" s="35" t="s">
        <v>192</v>
      </c>
    </row>
    <row r="194" spans="9:12" ht="47.25" thickBot="1">
      <c r="I194" s="39" t="s">
        <v>171</v>
      </c>
      <c r="J194" s="38" t="s">
        <v>172</v>
      </c>
      <c r="K194" s="38" t="s">
        <v>173</v>
      </c>
      <c r="L194" s="38" t="s">
        <v>174</v>
      </c>
    </row>
    <row r="195" spans="9:12" ht="15.75" thickBot="1">
      <c r="I195" s="40">
        <v>1</v>
      </c>
      <c r="J195" s="41">
        <v>2</v>
      </c>
      <c r="K195" s="41">
        <v>3</v>
      </c>
      <c r="L195" s="41">
        <v>4</v>
      </c>
    </row>
    <row r="196" spans="9:12" ht="31.5" thickBot="1">
      <c r="I196" s="42" t="s">
        <v>193</v>
      </c>
      <c r="J196" s="41">
        <v>2400</v>
      </c>
      <c r="K196" s="41"/>
      <c r="L196" s="41"/>
    </row>
    <row r="197" spans="9:12" ht="31.5" thickBot="1">
      <c r="I197" s="42" t="s">
        <v>194</v>
      </c>
      <c r="J197" s="41">
        <v>2405</v>
      </c>
      <c r="K197" s="41"/>
      <c r="L197" s="41"/>
    </row>
    <row r="198" spans="9:12" ht="15.75" thickBot="1">
      <c r="I198" s="42" t="s">
        <v>195</v>
      </c>
      <c r="J198" s="41">
        <v>2410</v>
      </c>
      <c r="K198" s="41"/>
      <c r="L198" s="41"/>
    </row>
    <row r="199" spans="9:12" ht="47.25" thickBot="1">
      <c r="I199" s="42" t="s">
        <v>196</v>
      </c>
      <c r="J199" s="41">
        <v>2415</v>
      </c>
      <c r="K199" s="41"/>
      <c r="L199" s="41"/>
    </row>
    <row r="200" spans="9:12" ht="15.75" thickBot="1">
      <c r="I200" s="42" t="s">
        <v>197</v>
      </c>
      <c r="J200" s="41">
        <v>2445</v>
      </c>
      <c r="K200" s="41"/>
      <c r="L200" s="41"/>
    </row>
    <row r="201" spans="9:12" ht="31.5" thickBot="1">
      <c r="I201" s="48" t="s">
        <v>198</v>
      </c>
      <c r="J201" s="49">
        <v>2450</v>
      </c>
      <c r="K201" s="41"/>
      <c r="L201" s="41"/>
    </row>
    <row r="202" spans="9:12" ht="31.5" thickBot="1">
      <c r="I202" s="42" t="s">
        <v>199</v>
      </c>
      <c r="J202" s="41">
        <v>2455</v>
      </c>
      <c r="K202" s="41"/>
      <c r="L202" s="41"/>
    </row>
    <row r="203" spans="9:12" ht="31.5" thickBot="1">
      <c r="I203" s="48" t="s">
        <v>200</v>
      </c>
      <c r="J203" s="49">
        <v>2460</v>
      </c>
      <c r="K203" s="41"/>
      <c r="L203" s="41"/>
    </row>
    <row r="204" spans="9:12" ht="31.5" thickBot="1">
      <c r="I204" s="48" t="s">
        <v>201</v>
      </c>
      <c r="J204" s="49">
        <v>2465</v>
      </c>
      <c r="K204" s="41"/>
      <c r="L204" s="41"/>
    </row>
    <row r="205" ht="15">
      <c r="I205" s="35"/>
    </row>
    <row r="206" ht="13.5">
      <c r="I206" s="51"/>
    </row>
    <row r="207" ht="15">
      <c r="I207" s="52" t="s">
        <v>202</v>
      </c>
    </row>
    <row r="208" ht="15.75" thickBot="1">
      <c r="I208" s="50" t="s">
        <v>203</v>
      </c>
    </row>
    <row r="209" spans="9:12" ht="31.5" thickBot="1">
      <c r="I209" s="53" t="s">
        <v>44</v>
      </c>
      <c r="J209" s="34" t="s">
        <v>204</v>
      </c>
      <c r="K209" s="54" t="s">
        <v>205</v>
      </c>
      <c r="L209" s="34" t="s">
        <v>204</v>
      </c>
    </row>
    <row r="210" spans="9:12" ht="15.75" thickBot="1">
      <c r="I210" s="17" t="s">
        <v>206</v>
      </c>
      <c r="J210" s="76"/>
      <c r="K210" s="76" t="s">
        <v>207</v>
      </c>
      <c r="L210" s="76"/>
    </row>
    <row r="211" spans="9:12" ht="15.75" thickBot="1">
      <c r="I211" s="17" t="s">
        <v>208</v>
      </c>
      <c r="J211" s="76">
        <f>N7</f>
        <v>13550</v>
      </c>
      <c r="K211" s="58" t="s">
        <v>209</v>
      </c>
      <c r="L211" s="76">
        <f>R6</f>
        <v>25000</v>
      </c>
    </row>
    <row r="212" spans="9:12" ht="15">
      <c r="I212" s="64" t="s">
        <v>210</v>
      </c>
      <c r="J212" s="77">
        <f>N6+B37</f>
        <v>42500</v>
      </c>
      <c r="K212" s="77" t="s">
        <v>212</v>
      </c>
      <c r="L212" s="78">
        <f>R7+K190</f>
        <v>62592.7615605723</v>
      </c>
    </row>
    <row r="213" spans="9:18" ht="15.75" thickBot="1">
      <c r="I213" s="65"/>
      <c r="J213" s="79"/>
      <c r="K213" s="79"/>
      <c r="L213" s="76" t="s">
        <v>243</v>
      </c>
      <c r="M213" t="s">
        <v>211</v>
      </c>
      <c r="O213" s="24" t="s">
        <v>212</v>
      </c>
      <c r="Q213" t="s">
        <v>241</v>
      </c>
      <c r="R213" t="s">
        <v>242</v>
      </c>
    </row>
    <row r="214" spans="9:13" ht="15.75" thickBot="1">
      <c r="I214" s="17" t="s">
        <v>213</v>
      </c>
      <c r="J214" s="76">
        <f>-B27*4+N8-B28*4</f>
        <v>-18427.5</v>
      </c>
      <c r="K214" s="76"/>
      <c r="L214" s="76"/>
      <c r="M214" t="s">
        <v>238</v>
      </c>
    </row>
    <row r="215" spans="9:12" ht="31.5" thickBot="1">
      <c r="I215" s="55" t="s">
        <v>214</v>
      </c>
      <c r="J215" s="76">
        <f>J211+J212+J214</f>
        <v>37622.5</v>
      </c>
      <c r="K215" s="80" t="s">
        <v>215</v>
      </c>
      <c r="L215" s="76">
        <f>L211+L212</f>
        <v>87592.7615605723</v>
      </c>
    </row>
    <row r="216" spans="9:12" ht="31.5" thickBot="1">
      <c r="I216" s="17" t="s">
        <v>216</v>
      </c>
      <c r="J216" s="76"/>
      <c r="K216" s="76" t="s">
        <v>217</v>
      </c>
      <c r="L216" s="76"/>
    </row>
    <row r="217" spans="9:17" ht="15">
      <c r="I217" s="64" t="s">
        <v>218</v>
      </c>
      <c r="J217" s="78">
        <f>M37*J89</f>
        <v>6414.823301694901</v>
      </c>
      <c r="K217" s="77" t="s">
        <v>244</v>
      </c>
      <c r="L217" s="77">
        <f>M126</f>
        <v>8857.729999999998</v>
      </c>
      <c r="M217" t="s">
        <v>219</v>
      </c>
      <c r="Q217" t="s">
        <v>220</v>
      </c>
    </row>
    <row r="218" spans="9:13" ht="15.75" thickBot="1">
      <c r="I218" s="65"/>
      <c r="J218" s="76"/>
      <c r="K218" s="79"/>
      <c r="L218" s="79"/>
      <c r="M218" t="s">
        <v>239</v>
      </c>
    </row>
    <row r="219" spans="9:14" ht="125.25" thickBot="1">
      <c r="I219" s="17" t="s">
        <v>221</v>
      </c>
      <c r="J219" s="76">
        <f>M51*M55</f>
        <v>2577.4000000000005</v>
      </c>
      <c r="K219" s="58" t="s">
        <v>240</v>
      </c>
      <c r="L219" s="76">
        <f>K188</f>
        <v>17364.2538535241</v>
      </c>
      <c r="M219" s="58" t="s">
        <v>222</v>
      </c>
      <c r="N219" s="58" t="s">
        <v>223</v>
      </c>
    </row>
    <row r="220" spans="9:14" ht="63" thickBot="1">
      <c r="I220" s="17" t="s">
        <v>224</v>
      </c>
      <c r="J220" s="76">
        <f>M110</f>
        <v>34020</v>
      </c>
      <c r="K220" s="76"/>
      <c r="L220" s="76"/>
      <c r="M220" s="58" t="s">
        <v>225</v>
      </c>
      <c r="N220" s="58" t="s">
        <v>226</v>
      </c>
    </row>
    <row r="221" spans="9:13" ht="15.75" thickBot="1">
      <c r="I221" s="17" t="s">
        <v>227</v>
      </c>
      <c r="J221" s="76">
        <f>J149*0.6</f>
        <v>1022.1299999999999</v>
      </c>
      <c r="K221" s="76"/>
      <c r="L221" s="76"/>
      <c r="M221" t="s">
        <v>228</v>
      </c>
    </row>
    <row r="222" spans="9:12" ht="15.75" thickBot="1">
      <c r="I222" s="17" t="s">
        <v>229</v>
      </c>
      <c r="J222" s="76">
        <f>M156</f>
        <v>32158.39211240149</v>
      </c>
      <c r="K222" s="76"/>
      <c r="L222" s="76"/>
    </row>
    <row r="223" spans="9:12" ht="31.5" thickBot="1">
      <c r="I223" s="55" t="s">
        <v>230</v>
      </c>
      <c r="J223" s="76">
        <f>J217+J219+J220+J221+J222</f>
        <v>76192.7454140964</v>
      </c>
      <c r="K223" s="80" t="s">
        <v>231</v>
      </c>
      <c r="L223" s="76">
        <f>L217+L219</f>
        <v>26221.9838535241</v>
      </c>
    </row>
    <row r="224" spans="9:12" ht="31.5" thickBot="1">
      <c r="I224" s="55" t="s">
        <v>232</v>
      </c>
      <c r="J224" s="76">
        <f>J223+J215</f>
        <v>113815.2454140964</v>
      </c>
      <c r="K224" s="80" t="s">
        <v>232</v>
      </c>
      <c r="L224" s="76">
        <f>L223+L215</f>
        <v>113814.7454140964</v>
      </c>
    </row>
    <row r="225" spans="9:10" ht="15">
      <c r="I225" s="56"/>
      <c r="J225" s="81">
        <f>J224-L224</f>
        <v>0.5</v>
      </c>
    </row>
    <row r="226" ht="15">
      <c r="I226" s="57"/>
    </row>
    <row r="227" ht="15">
      <c r="I227" s="57"/>
    </row>
    <row r="228" ht="15">
      <c r="I228" s="57"/>
    </row>
    <row r="229" ht="15">
      <c r="I229" s="57"/>
    </row>
    <row r="230" ht="15">
      <c r="I230" s="57"/>
    </row>
    <row r="231" ht="15">
      <c r="I231" s="57"/>
    </row>
    <row r="232" ht="15">
      <c r="I232" s="57"/>
    </row>
    <row r="233" ht="15">
      <c r="I233" s="57"/>
    </row>
    <row r="234" ht="15">
      <c r="I234" s="57"/>
    </row>
  </sheetData>
  <sheetProtection/>
  <mergeCells count="72">
    <mergeCell ref="K190:K191"/>
    <mergeCell ref="L190:L191"/>
    <mergeCell ref="I212:I213"/>
    <mergeCell ref="J212:J213"/>
    <mergeCell ref="K212:K213"/>
    <mergeCell ref="I217:I218"/>
    <mergeCell ref="K217:K218"/>
    <mergeCell ref="L217:L218"/>
    <mergeCell ref="K169:K170"/>
    <mergeCell ref="L169:L170"/>
    <mergeCell ref="K176:K177"/>
    <mergeCell ref="L176:L177"/>
    <mergeCell ref="K185:K186"/>
    <mergeCell ref="L185:L186"/>
    <mergeCell ref="J152:J153"/>
    <mergeCell ref="K152:K153"/>
    <mergeCell ref="L152:L153"/>
    <mergeCell ref="M152:M153"/>
    <mergeCell ref="N152:N153"/>
    <mergeCell ref="J119:J120"/>
    <mergeCell ref="K119:K120"/>
    <mergeCell ref="L119:L120"/>
    <mergeCell ref="M119:M120"/>
    <mergeCell ref="N119:N120"/>
    <mergeCell ref="I128:I129"/>
    <mergeCell ref="J128:M128"/>
    <mergeCell ref="N128:N129"/>
    <mergeCell ref="I112:I113"/>
    <mergeCell ref="J112:M112"/>
    <mergeCell ref="N112:N113"/>
    <mergeCell ref="I116:I117"/>
    <mergeCell ref="J116:M116"/>
    <mergeCell ref="N116:N117"/>
    <mergeCell ref="N46:N47"/>
    <mergeCell ref="O46:P46"/>
    <mergeCell ref="J103:J104"/>
    <mergeCell ref="K103:K104"/>
    <mergeCell ref="L103:L104"/>
    <mergeCell ref="M103:M104"/>
    <mergeCell ref="N103:N104"/>
    <mergeCell ref="I92:I93"/>
    <mergeCell ref="J92:M92"/>
    <mergeCell ref="N92:N93"/>
    <mergeCell ref="I100:I101"/>
    <mergeCell ref="J100:M100"/>
    <mergeCell ref="N100:N101"/>
    <mergeCell ref="I25:I26"/>
    <mergeCell ref="J25:M25"/>
    <mergeCell ref="N25:N26"/>
    <mergeCell ref="O25:P25"/>
    <mergeCell ref="J29:J30"/>
    <mergeCell ref="K29:K30"/>
    <mergeCell ref="L29:L30"/>
    <mergeCell ref="M29:M30"/>
    <mergeCell ref="N29:N30"/>
    <mergeCell ref="O29:O30"/>
    <mergeCell ref="I80:I81"/>
    <mergeCell ref="J80:M80"/>
    <mergeCell ref="N80:N81"/>
    <mergeCell ref="P29:P30"/>
    <mergeCell ref="I34:I35"/>
    <mergeCell ref="J34:M34"/>
    <mergeCell ref="N34:N35"/>
    <mergeCell ref="O34:P34"/>
    <mergeCell ref="I46:I47"/>
    <mergeCell ref="J46:M46"/>
    <mergeCell ref="I59:I60"/>
    <mergeCell ref="J59:M59"/>
    <mergeCell ref="N59:N60"/>
    <mergeCell ref="I69:I70"/>
    <mergeCell ref="J69:M69"/>
    <mergeCell ref="N69:N7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</dc:creator>
  <cp:keywords/>
  <dc:description/>
  <cp:lastModifiedBy>Tetiana Konieva</cp:lastModifiedBy>
  <cp:lastPrinted>2010-05-04T16:27:54Z</cp:lastPrinted>
  <dcterms:created xsi:type="dcterms:W3CDTF">2006-09-19T18:14:37Z</dcterms:created>
  <dcterms:modified xsi:type="dcterms:W3CDTF">2023-12-16T08:58:48Z</dcterms:modified>
  <cp:category/>
  <cp:version/>
  <cp:contentType/>
  <cp:contentStatus/>
</cp:coreProperties>
</file>