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C48728E-C1C8-450C-80C2-53E5BB0299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4" i="1" l="1"/>
  <c r="E91" i="1"/>
  <c r="E247" i="1"/>
  <c r="E246" i="1"/>
  <c r="E245" i="1"/>
  <c r="E243" i="1"/>
  <c r="E240" i="1"/>
  <c r="E241" i="1"/>
  <c r="E239" i="1"/>
  <c r="E238" i="1"/>
  <c r="F237" i="1"/>
  <c r="G84" i="1"/>
  <c r="E235" i="1"/>
  <c r="E219" i="1"/>
  <c r="E44" i="1" l="1"/>
  <c r="E42" i="1"/>
  <c r="E29" i="1"/>
  <c r="E27" i="1"/>
  <c r="F19" i="1"/>
  <c r="E19" i="1"/>
  <c r="E114" i="1" s="1"/>
  <c r="G216" i="1"/>
  <c r="E217" i="1"/>
  <c r="E216" i="1"/>
  <c r="E220" i="1" s="1"/>
  <c r="H159" i="1"/>
  <c r="G159" i="1"/>
  <c r="F159" i="1"/>
  <c r="G140" i="1"/>
  <c r="F186" i="1" s="1"/>
  <c r="E136" i="1"/>
  <c r="E161" i="1"/>
  <c r="F161" i="1" s="1"/>
  <c r="H152" i="1"/>
  <c r="I147" i="1"/>
  <c r="F148" i="1" s="1"/>
  <c r="E147" i="1"/>
  <c r="F147" i="1" s="1"/>
  <c r="G147" i="1" s="1"/>
  <c r="H147" i="1" s="1"/>
  <c r="E146" i="1"/>
  <c r="E153" i="1"/>
  <c r="F189" i="1" s="1"/>
  <c r="E134" i="1"/>
  <c r="E120" i="1"/>
  <c r="E144" i="1" s="1"/>
  <c r="E103" i="1"/>
  <c r="E100" i="1"/>
  <c r="E137" i="1" s="1"/>
  <c r="I93" i="1"/>
  <c r="F91" i="1"/>
  <c r="G91" i="1" s="1"/>
  <c r="H91" i="1" s="1"/>
  <c r="H105" i="1"/>
  <c r="F93" i="1"/>
  <c r="G93" i="1" s="1"/>
  <c r="H93" i="1" s="1"/>
  <c r="I91" i="1"/>
  <c r="F178" i="1" s="1"/>
  <c r="K37" i="1"/>
  <c r="H80" i="1"/>
  <c r="F69" i="1"/>
  <c r="F80" i="1" s="1"/>
  <c r="G69" i="1"/>
  <c r="G80" i="1" s="1"/>
  <c r="H69" i="1"/>
  <c r="E69" i="1"/>
  <c r="E80" i="1" s="1"/>
  <c r="I66" i="1"/>
  <c r="I69" i="1" s="1"/>
  <c r="I80" i="1" s="1"/>
  <c r="K42" i="1"/>
  <c r="K43" i="1" s="1"/>
  <c r="I17" i="1"/>
  <c r="I26" i="1" s="1"/>
  <c r="F26" i="1"/>
  <c r="G26" i="1"/>
  <c r="H26" i="1"/>
  <c r="G27" i="1" s="1"/>
  <c r="J26" i="1"/>
  <c r="H27" i="1" s="1"/>
  <c r="K26" i="1"/>
  <c r="J27" i="1" s="1"/>
  <c r="K29" i="1" s="1"/>
  <c r="E26" i="1"/>
  <c r="H12" i="1"/>
  <c r="E12" i="1"/>
  <c r="F27" i="1"/>
  <c r="G19" i="1"/>
  <c r="G105" i="1" s="1"/>
  <c r="H19" i="1"/>
  <c r="H114" i="1" s="1"/>
  <c r="J19" i="1"/>
  <c r="K19" i="1"/>
  <c r="G28" i="1" l="1"/>
  <c r="H29" i="1"/>
  <c r="H106" i="1"/>
  <c r="H136" i="1" s="1"/>
  <c r="G114" i="1"/>
  <c r="F103" i="1"/>
  <c r="F136" i="1" s="1"/>
  <c r="H108" i="1"/>
  <c r="E225" i="1" s="1"/>
  <c r="G139" i="1"/>
  <c r="H139" i="1" s="1"/>
  <c r="E226" i="1"/>
  <c r="E148" i="1"/>
  <c r="F29" i="1"/>
  <c r="E28" i="1"/>
  <c r="E30" i="1" s="1"/>
  <c r="J28" i="1"/>
  <c r="G104" i="1"/>
  <c r="G136" i="1" s="1"/>
  <c r="F104" i="1"/>
  <c r="F114" i="1"/>
  <c r="I114" i="1" s="1"/>
  <c r="F180" i="1" s="1"/>
  <c r="G161" i="1"/>
  <c r="H161" i="1" s="1"/>
  <c r="G29" i="1"/>
  <c r="F28" i="1"/>
  <c r="F30" i="1" s="1"/>
  <c r="G30" i="1"/>
  <c r="G37" i="1" s="1"/>
  <c r="F139" i="1"/>
  <c r="E139" i="1"/>
  <c r="F185" i="1" s="1"/>
  <c r="G148" i="1"/>
  <c r="H148" i="1"/>
  <c r="J29" i="1"/>
  <c r="I19" i="1"/>
  <c r="F172" i="1" s="1"/>
  <c r="I148" i="1" l="1"/>
  <c r="F187" i="1" s="1"/>
  <c r="I136" i="1"/>
  <c r="I141" i="1" s="1"/>
  <c r="E141" i="1"/>
  <c r="F37" i="1"/>
  <c r="F39" i="1" s="1"/>
  <c r="E40" i="1" s="1"/>
  <c r="J30" i="1"/>
  <c r="J37" i="1" s="1"/>
  <c r="J39" i="1" s="1"/>
  <c r="H40" i="1" s="1"/>
  <c r="G39" i="1"/>
  <c r="G53" i="1"/>
  <c r="G55" i="1" s="1"/>
  <c r="I161" i="1"/>
  <c r="H28" i="1"/>
  <c r="H30" i="1" s="1"/>
  <c r="H37" i="1" s="1"/>
  <c r="I30" i="1" l="1"/>
  <c r="J42" i="1"/>
  <c r="E224" i="1"/>
  <c r="F53" i="1"/>
  <c r="F55" i="1" s="1"/>
  <c r="F67" i="1" s="1"/>
  <c r="F81" i="1" s="1"/>
  <c r="H39" i="1"/>
  <c r="H53" i="1"/>
  <c r="H55" i="1" s="1"/>
  <c r="E37" i="1"/>
  <c r="E39" i="1" s="1"/>
  <c r="I37" i="1"/>
  <c r="I53" i="1" s="1"/>
  <c r="I55" i="1" s="1"/>
  <c r="I28" i="1"/>
  <c r="F42" i="1"/>
  <c r="F65" i="1"/>
  <c r="F76" i="1"/>
  <c r="G67" i="1"/>
  <c r="G81" i="1" s="1"/>
  <c r="G57" i="1"/>
  <c r="G58" i="1" s="1"/>
  <c r="G77" i="1" s="1"/>
  <c r="F40" i="1"/>
  <c r="G76" i="1"/>
  <c r="G65" i="1"/>
  <c r="G82" i="1" l="1"/>
  <c r="E65" i="1"/>
  <c r="E76" i="1"/>
  <c r="F57" i="1"/>
  <c r="F58" i="1" s="1"/>
  <c r="F77" i="1" s="1"/>
  <c r="F82" i="1" s="1"/>
  <c r="H67" i="1"/>
  <c r="H81" i="1" s="1"/>
  <c r="H57" i="1"/>
  <c r="H58" i="1" s="1"/>
  <c r="H77" i="1" s="1"/>
  <c r="H149" i="1" s="1"/>
  <c r="G79" i="1"/>
  <c r="G68" i="1"/>
  <c r="G70" i="1" s="1"/>
  <c r="G150" i="1" s="1"/>
  <c r="G42" i="1"/>
  <c r="K40" i="1"/>
  <c r="E53" i="1"/>
  <c r="E55" i="1" s="1"/>
  <c r="H65" i="1"/>
  <c r="H76" i="1"/>
  <c r="G40" i="1"/>
  <c r="H41" i="1"/>
  <c r="G149" i="1"/>
  <c r="F41" i="1"/>
  <c r="F43" i="1" s="1"/>
  <c r="F79" i="1"/>
  <c r="F68" i="1"/>
  <c r="F70" i="1" s="1"/>
  <c r="F150" i="1" s="1"/>
  <c r="E58" i="1" l="1"/>
  <c r="E77" i="1" s="1"/>
  <c r="E57" i="1"/>
  <c r="E67" i="1"/>
  <c r="E81" i="1" s="1"/>
  <c r="H82" i="1"/>
  <c r="F149" i="1"/>
  <c r="H42" i="1"/>
  <c r="G41" i="1"/>
  <c r="G43" i="1" s="1"/>
  <c r="G45" i="1" s="1"/>
  <c r="H43" i="1"/>
  <c r="H45" i="1" s="1"/>
  <c r="H79" i="1"/>
  <c r="H68" i="1"/>
  <c r="H70" i="1" s="1"/>
  <c r="H150" i="1" s="1"/>
  <c r="E41" i="1"/>
  <c r="E43" i="1" s="1"/>
  <c r="E45" i="1" s="1"/>
  <c r="I39" i="1"/>
  <c r="I57" i="1"/>
  <c r="I58" i="1" s="1"/>
  <c r="I77" i="1" s="1"/>
  <c r="I149" i="1" s="1"/>
  <c r="F45" i="1"/>
  <c r="F124" i="1" l="1"/>
  <c r="G124" i="1"/>
  <c r="H128" i="1"/>
  <c r="G222" i="1" s="1"/>
  <c r="H126" i="1"/>
  <c r="H125" i="1"/>
  <c r="G125" i="1"/>
  <c r="I67" i="1"/>
  <c r="I81" i="1" s="1"/>
  <c r="E149" i="1"/>
  <c r="I41" i="1"/>
  <c r="I76" i="1"/>
  <c r="I65" i="1"/>
  <c r="E79" i="1"/>
  <c r="E82" i="1" s="1"/>
  <c r="I82" i="1" s="1"/>
  <c r="E84" i="1" s="1"/>
  <c r="E90" i="1" s="1"/>
  <c r="E92" i="1" s="1"/>
  <c r="E94" i="1" s="1"/>
  <c r="E68" i="1"/>
  <c r="E150" i="1" l="1"/>
  <c r="E70" i="1"/>
  <c r="H143" i="1"/>
  <c r="E223" i="1"/>
  <c r="F173" i="1"/>
  <c r="F174" i="1" s="1"/>
  <c r="H90" i="1"/>
  <c r="H92" i="1" s="1"/>
  <c r="H94" i="1" s="1"/>
  <c r="H151" i="1" s="1"/>
  <c r="F90" i="1"/>
  <c r="F92" i="1" s="1"/>
  <c r="F94" i="1" s="1"/>
  <c r="F151" i="1" s="1"/>
  <c r="G90" i="1"/>
  <c r="G92" i="1" s="1"/>
  <c r="G94" i="1" s="1"/>
  <c r="G151" i="1" s="1"/>
  <c r="I68" i="1"/>
  <c r="I70" i="1" s="1"/>
  <c r="I150" i="1" s="1"/>
  <c r="I79" i="1"/>
  <c r="I43" i="1"/>
  <c r="G143" i="1"/>
  <c r="H154" i="1" l="1"/>
  <c r="G154" i="1"/>
  <c r="E151" i="1"/>
  <c r="I90" i="1"/>
  <c r="F123" i="1"/>
  <c r="F143" i="1" s="1"/>
  <c r="F154" i="1" s="1"/>
  <c r="E123" i="1"/>
  <c r="E143" i="1" s="1"/>
  <c r="E154" i="1" s="1"/>
  <c r="E155" i="1" s="1"/>
  <c r="E160" i="1" s="1"/>
  <c r="I45" i="1"/>
  <c r="I92" i="1" l="1"/>
  <c r="I94" i="1" s="1"/>
  <c r="I151" i="1" s="1"/>
  <c r="F179" i="1"/>
  <c r="F181" i="1" s="1"/>
  <c r="F190" i="1" s="1"/>
  <c r="F134" i="1"/>
  <c r="I143" i="1"/>
  <c r="I154" i="1" l="1"/>
  <c r="I155" i="1" s="1"/>
  <c r="I160" i="1" s="1"/>
  <c r="F194" i="1"/>
  <c r="G224" i="1" s="1"/>
  <c r="G228" i="1" s="1"/>
  <c r="F195" i="1"/>
  <c r="G217" i="1" s="1"/>
  <c r="G220" i="1" s="1"/>
  <c r="F141" i="1"/>
  <c r="F155" i="1" s="1"/>
  <c r="F160" i="1" l="1"/>
  <c r="G141" i="1" s="1"/>
  <c r="G155" i="1" s="1"/>
  <c r="G160" i="1" s="1"/>
  <c r="H134" i="1" s="1"/>
  <c r="H141" i="1" s="1"/>
  <c r="H155" i="1" s="1"/>
  <c r="H160" i="1" s="1"/>
  <c r="E227" i="1" s="1"/>
  <c r="E228" i="1" s="1"/>
  <c r="E229" i="1" s="1"/>
  <c r="G229" i="1"/>
</calcChain>
</file>

<file path=xl/sharedStrings.xml><?xml version="1.0" encoding="utf-8"?>
<sst xmlns="http://schemas.openxmlformats.org/spreadsheetml/2006/main" count="384" uniqueCount="246">
  <si>
    <t>Variant</t>
  </si>
  <si>
    <t xml:space="preserve">Current income tax liabilities, hrn. </t>
  </si>
  <si>
    <t>Simple shares, грн.</t>
  </si>
  <si>
    <t xml:space="preserve">Accounts receivable, hrn. </t>
  </si>
  <si>
    <t>Raw materials inventories, hrn.</t>
  </si>
  <si>
    <t>Cash and cash equivalents, hrn.</t>
  </si>
  <si>
    <t xml:space="preserve">Retained earnings, hrn. </t>
  </si>
  <si>
    <t xml:space="preserve">Short-term bank credit, hrn. </t>
  </si>
  <si>
    <t>Finished products, hrn.</t>
  </si>
  <si>
    <t>Buildings (original value), hrn.</t>
  </si>
  <si>
    <t>Accounts payable, hrn.</t>
  </si>
  <si>
    <t xml:space="preserve">Accumulated depreciation, hrn. </t>
  </si>
  <si>
    <t>Equipment (original value), hrn.</t>
  </si>
  <si>
    <t>Payment of accounts receivable: % of sales in the current quarter</t>
  </si>
  <si>
    <t>% of sales in the previous quarter</t>
  </si>
  <si>
    <t>Finished products inventories at the end of the period, %</t>
  </si>
  <si>
    <t xml:space="preserve">Raw materials inventories at the end of the period, % </t>
  </si>
  <si>
    <t xml:space="preserve">Payment for raw materials: % of purchases in the quarter </t>
  </si>
  <si>
    <t>% in the next quarter</t>
  </si>
  <si>
    <t>Price of the raw materials unit, hrn.</t>
  </si>
  <si>
    <t>Office rent for a year, hrn.</t>
  </si>
  <si>
    <t>Raw material requirements per unit of finished goods, kg</t>
  </si>
  <si>
    <t>Entertainment expenses for a quarter, hrn.</t>
  </si>
  <si>
    <t>Direct labour costs per unit of finished goods, hours</t>
  </si>
  <si>
    <t>The cost per hour of direct labor costs, hrn.</t>
  </si>
  <si>
    <t>Depreciation of equipment in the quarter, hrn.</t>
  </si>
  <si>
    <t>Depreciation of administrative tangible assets in the quarter, hrn.</t>
  </si>
  <si>
    <t>General production costs, % in the quarter</t>
  </si>
  <si>
    <t>Quarterly % of sales expenses</t>
  </si>
  <si>
    <t xml:space="preserve">% of the spoilage costs </t>
  </si>
  <si>
    <t>The minimum cash balance at the end of the quarter, hrn.</t>
  </si>
  <si>
    <t>Salary fund of the administrative staff for the quarter, hrn.</t>
  </si>
  <si>
    <t xml:space="preserve">Heating, lighting of the administrative offices for the year, hrn. </t>
  </si>
  <si>
    <t xml:space="preserve">Share of short-term financial investments,% </t>
  </si>
  <si>
    <t>Annual % of the loan</t>
  </si>
  <si>
    <t xml:space="preserve">Purchase of equipment in the IV quarter, hrn. </t>
  </si>
  <si>
    <t xml:space="preserve">Income tax, % </t>
  </si>
  <si>
    <t xml:space="preserve">Sale price, hrn. </t>
  </si>
  <si>
    <t>Sale of finished products, units: 1 quarter</t>
  </si>
  <si>
    <t>2 quarter</t>
  </si>
  <si>
    <t>3 quarter</t>
  </si>
  <si>
    <t>4 quarter</t>
  </si>
  <si>
    <t>Cost of finished products unit in the past year, hrn.</t>
  </si>
  <si>
    <t>L</t>
  </si>
  <si>
    <t>E</t>
  </si>
  <si>
    <t>A</t>
  </si>
  <si>
    <t>A -</t>
  </si>
  <si>
    <t>Aseets</t>
  </si>
  <si>
    <t>At the beginning of the reporting period</t>
  </si>
  <si>
    <t>At the end of the reporting period</t>
  </si>
  <si>
    <t>Fixed aseets</t>
  </si>
  <si>
    <t>Current assets</t>
  </si>
  <si>
    <t xml:space="preserve">Equity </t>
  </si>
  <si>
    <t>Equity + Liabilities</t>
  </si>
  <si>
    <t>Liabilities</t>
  </si>
  <si>
    <t>Total</t>
  </si>
  <si>
    <t xml:space="preserve">Indicator </t>
  </si>
  <si>
    <t>Quarters</t>
  </si>
  <si>
    <t>Annual sale</t>
  </si>
  <si>
    <t>І</t>
  </si>
  <si>
    <t>ІІ</t>
  </si>
  <si>
    <t>ІІІ</t>
  </si>
  <si>
    <t>ІV</t>
  </si>
  <si>
    <t>1. Sale of finished products, units</t>
  </si>
  <si>
    <t>2. Sale price, CZK.</t>
  </si>
  <si>
    <t xml:space="preserve">3. Revenue </t>
  </si>
  <si>
    <t>(row 1 * row 2), CZK.</t>
  </si>
  <si>
    <t xml:space="preserve">Sales budget </t>
  </si>
  <si>
    <t>Production budget</t>
  </si>
  <si>
    <t>Indicator</t>
  </si>
  <si>
    <t>For the year</t>
  </si>
  <si>
    <t>2. Finished products inventories at the end of the period, units</t>
  </si>
  <si>
    <t>3. Total need for the finished products, units (row  1+ row 2)</t>
  </si>
  <si>
    <t xml:space="preserve">4. Finished products inventories at the beginning of the period, units </t>
  </si>
  <si>
    <t>5. The required output of finished products, units (row 3 – row 4)</t>
  </si>
  <si>
    <t xml:space="preserve">Budget of the direct costs for materials </t>
  </si>
  <si>
    <t>1. The required output of finished products, units</t>
  </si>
  <si>
    <t>2. Raw material requirements per unit of finished goods, kg</t>
  </si>
  <si>
    <t>3. Need for materials for the finished goods production, kg (row 1* row 2)</t>
  </si>
  <si>
    <t xml:space="preserve">4. Raw materials inventories at the end of the period, kg </t>
  </si>
  <si>
    <t>5. Total need for materials for the finished goods production, kg (row 3 + row 4)</t>
  </si>
  <si>
    <t xml:space="preserve">6. Raw materials inventories at the beginning of the period, kg </t>
  </si>
  <si>
    <t>7. Volume of the necessary raw materials purchase in the period, kg (row 5 – row 6)</t>
  </si>
  <si>
    <t xml:space="preserve">8. Price of the raw materials unit, CZK. </t>
  </si>
  <si>
    <t>9. Costs of the raw materials purchase, CZK. (row 7*row 8)</t>
  </si>
  <si>
    <t xml:space="preserve">Budget of the direct labour costs </t>
  </si>
  <si>
    <t xml:space="preserve">2. Direct labour costs per unit of finished goods, hours </t>
  </si>
  <si>
    <t xml:space="preserve">3. Total number of hours required for the finished products output, hours (row 1*row 2) </t>
  </si>
  <si>
    <t>4. The cost per hour of direct labour costs, CZK.</t>
  </si>
  <si>
    <t>5. Single social contribution (37%), CZK.</t>
  </si>
  <si>
    <t>6. Total direct labour costs, CZK. (row 3* row 4+ row 5)</t>
  </si>
  <si>
    <t>Budget of the other direct costs and general production costs</t>
  </si>
  <si>
    <t>1. Other direct costs:</t>
  </si>
  <si>
    <t>1.1. Spoilage costs</t>
  </si>
  <si>
    <t>1.2. Depreciation of equipment</t>
  </si>
  <si>
    <t>2. General production costs</t>
  </si>
  <si>
    <t>3. Total (row 1+ row 2)</t>
  </si>
  <si>
    <t>4. Depreciation of equipment</t>
  </si>
  <si>
    <t>5. Cash outflow for the other direct and general production costs (row 3- row 4)</t>
  </si>
  <si>
    <t>Total production costs (cost of finished products)</t>
  </si>
  <si>
    <t>1. Total direct costs for materials</t>
  </si>
  <si>
    <t>2. Total direct labour costs</t>
  </si>
  <si>
    <t>3. Other direct costs:</t>
  </si>
  <si>
    <t>3.1. Spoilage costs</t>
  </si>
  <si>
    <t>3.2. Depreciation of equipment</t>
  </si>
  <si>
    <t>4. General production costs</t>
  </si>
  <si>
    <t>5. Cost of finished products (row 1+ row 2+ row 3.1+ row 3.2+ row 4)</t>
  </si>
  <si>
    <t xml:space="preserve">cost of production per unit </t>
  </si>
  <si>
    <t xml:space="preserve">Budget of the administrative and sales expenses </t>
  </si>
  <si>
    <t>1. Sales expenses</t>
  </si>
  <si>
    <t>2. Administrative expenses</t>
  </si>
  <si>
    <t>4. Depreciation of administrative tangible assets</t>
  </si>
  <si>
    <t xml:space="preserve">5. Cash outflow for administrative and sales expenses  (row 3- row 4) </t>
  </si>
  <si>
    <t xml:space="preserve">Budget of cash inflow from sale of finished products </t>
  </si>
  <si>
    <t xml:space="preserve">1. Repayment of accounts receivable for the 20X1year  </t>
  </si>
  <si>
    <t>2. Quarterly payments of finished products sales</t>
  </si>
  <si>
    <t xml:space="preserve">in 20Х2 year  </t>
  </si>
  <si>
    <t>І quarter</t>
  </si>
  <si>
    <t>ІІ quarter</t>
  </si>
  <si>
    <t>ІІІ quarter</t>
  </si>
  <si>
    <t>ІV quarter</t>
  </si>
  <si>
    <t>3. The total amount of cash inflows (row 1+ row 2)</t>
  </si>
  <si>
    <t>4. Accounts receivable at 31.12.20Х2.</t>
  </si>
  <si>
    <t xml:space="preserve">Doubtful debts  </t>
  </si>
  <si>
    <t>Budget of cash outflow for the raw materials purchase</t>
  </si>
  <si>
    <t xml:space="preserve">1. Repayment of accounts payable for the 20Х1 year </t>
  </si>
  <si>
    <t xml:space="preserve">2. Quarterly payments for the raw materials </t>
  </si>
  <si>
    <t>in 20Х2 year:</t>
  </si>
  <si>
    <t>3. The total amount of cash outflows (row 1+row 2)</t>
  </si>
  <si>
    <t>4. Accounts payable at 31.12.20Х2.</t>
  </si>
  <si>
    <t xml:space="preserve">Cash plan </t>
  </si>
  <si>
    <t>1. Cash at the beginning of the period</t>
  </si>
  <si>
    <t xml:space="preserve">2. Cash inflows: </t>
  </si>
  <si>
    <t>2.1. Payment of finished products</t>
  </si>
  <si>
    <t xml:space="preserve">2.2. Repayment of accounts receivable for the 20X1year  </t>
  </si>
  <si>
    <t>3. Total cash (row 1+ row 2)</t>
  </si>
  <si>
    <t xml:space="preserve">4. Cash outflows: </t>
  </si>
  <si>
    <t>4.1. Payment of raw materials</t>
  </si>
  <si>
    <t>4.2. Repayment of accounts payable for the 20Х1 year</t>
  </si>
  <si>
    <t xml:space="preserve">4.3. Repayment of other current liabilities </t>
  </si>
  <si>
    <t xml:space="preserve">4.4. Payment of direct labor costs </t>
  </si>
  <si>
    <t>4.5. Cash outflow for the other direct and general production costs</t>
  </si>
  <si>
    <t xml:space="preserve">4.6. Cash outflow for administrative and sales expenses  </t>
  </si>
  <si>
    <t>4.7. Purchase of equipment</t>
  </si>
  <si>
    <t>5. Total cash outflows (Σ row 4.1 – 4.8)</t>
  </si>
  <si>
    <t>6. Excess (deficit) of cash (row 3- row 5)</t>
  </si>
  <si>
    <t>7. Financing:</t>
  </si>
  <si>
    <t>7.1. Getting credit</t>
  </si>
  <si>
    <t>7.2. Repayment of credit</t>
  </si>
  <si>
    <t xml:space="preserve">7.3. Repayment of the credit’s interest </t>
  </si>
  <si>
    <t>8. Cash at the end of the period (row 6 + row 7.1 – row 7.2 – row 7.3)</t>
  </si>
  <si>
    <t>9. The minimum cash balance at the end of the quarter</t>
  </si>
  <si>
    <t>company buy the financial investment  in amount 16% form current assets, in third quarter company sold 40% for finaicial investment and earning 10% of profit,financial investment 5% anually</t>
  </si>
  <si>
    <t>4.8. Other cash outflow(purchase of financial investments)</t>
  </si>
  <si>
    <t xml:space="preserve">2.3. Other cash inflows(income from financial investment) </t>
  </si>
  <si>
    <t xml:space="preserve">2.3.2 income from sell of financial investment </t>
  </si>
  <si>
    <t>2.3.1 interest rate from financial investment</t>
  </si>
  <si>
    <t>4.3.1.paying income tax of previous year</t>
  </si>
  <si>
    <t xml:space="preserve">4.3.2.paying bank credit of previous year  </t>
  </si>
  <si>
    <t>4.3.3.paying interest rate</t>
  </si>
  <si>
    <t>finished goods previous</t>
  </si>
  <si>
    <t>cost per unit previous year</t>
  </si>
  <si>
    <t>The income statement (The statement of comprehensive income)</t>
  </si>
  <si>
    <t>for __________________ 20__ .</t>
  </si>
  <si>
    <t>Form № 2</t>
  </si>
  <si>
    <t>І. Financial results</t>
  </si>
  <si>
    <t xml:space="preserve">Position </t>
  </si>
  <si>
    <t xml:space="preserve">Code </t>
  </si>
  <si>
    <t>For the reporting period</t>
  </si>
  <si>
    <t>For the previous year</t>
  </si>
  <si>
    <t>Net revenue from sales of production (goods, works, services)</t>
  </si>
  <si>
    <t>Cost of production (goods, works, services) sold</t>
  </si>
  <si>
    <t>( )</t>
  </si>
  <si>
    <t>Gross:</t>
  </si>
  <si>
    <t>profit</t>
  </si>
  <si>
    <t>loss</t>
  </si>
  <si>
    <t>Other operating income</t>
  </si>
  <si>
    <t>Administrative expenses</t>
  </si>
  <si>
    <t>Sales expenses</t>
  </si>
  <si>
    <t>Other operating expenses</t>
  </si>
  <si>
    <r>
      <t>The financial result from the operational activity:</t>
    </r>
    <r>
      <rPr>
        <sz val="12"/>
        <color theme="1"/>
        <rFont val="Times New Roman"/>
        <family val="1"/>
      </rPr>
      <t> </t>
    </r>
  </si>
  <si>
    <t>Income from investments in other enterprises equity</t>
  </si>
  <si>
    <t>Other financial income</t>
  </si>
  <si>
    <t>Other income</t>
  </si>
  <si>
    <t>Financial costs</t>
  </si>
  <si>
    <t>Loss from investments in other enterprises equity</t>
  </si>
  <si>
    <t>Other costs</t>
  </si>
  <si>
    <r>
      <t>The financial result before taxation</t>
    </r>
    <r>
      <rPr>
        <b/>
        <sz val="12"/>
        <color rgb="FF000000"/>
        <rFont val="Times New Roman"/>
        <family val="1"/>
      </rPr>
      <t>:</t>
    </r>
    <r>
      <rPr>
        <sz val="12"/>
        <color theme="1"/>
        <rFont val="Times New Roman"/>
        <family val="1"/>
      </rPr>
      <t> </t>
    </r>
  </si>
  <si>
    <t>Expenses (income) from income tax</t>
  </si>
  <si>
    <t>Income (loss) from discontinued operations after taxation</t>
  </si>
  <si>
    <t>Net financial result:</t>
  </si>
  <si>
    <r>
      <t xml:space="preserve">II. </t>
    </r>
    <r>
      <rPr>
        <b/>
        <sz val="12"/>
        <color theme="1"/>
        <rFont val="Times New Roman"/>
        <family val="1"/>
      </rPr>
      <t>The comprehensive income</t>
    </r>
  </si>
  <si>
    <t>Revaluation (markdown) of fixed assets</t>
  </si>
  <si>
    <t>Revaluation (markdown) of financial instruments</t>
  </si>
  <si>
    <t>Accumulated translation differences</t>
  </si>
  <si>
    <t>Share of other comprehensive income from associates and joint ventures</t>
  </si>
  <si>
    <t>Other comprehensive income</t>
  </si>
  <si>
    <t>Other comprehensive income before taxation</t>
  </si>
  <si>
    <t>Income tax related to other comprehensive income</t>
  </si>
  <si>
    <t>Other comprehensive income after taxation</t>
  </si>
  <si>
    <r>
      <t>Comprehensive income</t>
    </r>
    <r>
      <rPr>
        <b/>
        <sz val="12"/>
        <color rgb="FF000000"/>
        <rFont val="Times New Roman"/>
        <family val="1"/>
      </rPr>
      <t xml:space="preserve"> (sum of positions 2350, 2355, 2460)</t>
    </r>
  </si>
  <si>
    <t>Table 13</t>
  </si>
  <si>
    <r>
      <t>Planned balance sheet</t>
    </r>
    <r>
      <rPr>
        <sz val="12"/>
        <color rgb="FF000000"/>
        <rFont val="Times New Roman"/>
        <family val="1"/>
      </rPr>
      <t xml:space="preserve"> </t>
    </r>
  </si>
  <si>
    <t>Assets</t>
  </si>
  <si>
    <t>At the end of the period</t>
  </si>
  <si>
    <t>Liabilities and equity</t>
  </si>
  <si>
    <t>І. Tangible assets:</t>
  </si>
  <si>
    <r>
      <t xml:space="preserve">І. </t>
    </r>
    <r>
      <rPr>
        <b/>
        <sz val="12"/>
        <color theme="1"/>
        <rFont val="Times New Roman"/>
        <family val="1"/>
      </rPr>
      <t>Equity</t>
    </r>
    <r>
      <rPr>
        <sz val="12"/>
        <color theme="1"/>
        <rFont val="Times New Roman"/>
        <family val="1"/>
      </rPr>
      <t>:</t>
    </r>
  </si>
  <si>
    <t>Buildings</t>
  </si>
  <si>
    <t>Simple shares</t>
  </si>
  <si>
    <t>Equipment</t>
  </si>
  <si>
    <t>Retained earnings</t>
  </si>
  <si>
    <t xml:space="preserve">Depreciation </t>
  </si>
  <si>
    <t>Total tangible assets І</t>
  </si>
  <si>
    <r>
      <t>Total equity</t>
    </r>
    <r>
      <rPr>
        <b/>
        <sz val="12"/>
        <color rgb="FF000000"/>
        <rFont val="Times New Roman"/>
        <family val="1"/>
      </rPr>
      <t xml:space="preserve"> I</t>
    </r>
  </si>
  <si>
    <r>
      <t xml:space="preserve">ІІ. </t>
    </r>
    <r>
      <rPr>
        <b/>
        <sz val="12"/>
        <color theme="1"/>
        <rFont val="Times New Roman"/>
        <family val="1"/>
      </rPr>
      <t>Current assets</t>
    </r>
    <r>
      <rPr>
        <sz val="12"/>
        <color theme="1"/>
        <rFont val="Times New Roman"/>
        <family val="1"/>
      </rPr>
      <t>:</t>
    </r>
  </si>
  <si>
    <r>
      <t xml:space="preserve">ІІ. </t>
    </r>
    <r>
      <rPr>
        <b/>
        <sz val="12"/>
        <color theme="1"/>
        <rFont val="Times New Roman"/>
        <family val="1"/>
      </rPr>
      <t>Current liabilities</t>
    </r>
    <r>
      <rPr>
        <sz val="12"/>
        <color theme="1"/>
        <rFont val="Times New Roman"/>
        <family val="1"/>
      </rPr>
      <t xml:space="preserve">: </t>
    </r>
  </si>
  <si>
    <t>Finished products</t>
  </si>
  <si>
    <t>Accounts payable</t>
  </si>
  <si>
    <t>Raw materials</t>
  </si>
  <si>
    <t>Accounts payable by the budget</t>
  </si>
  <si>
    <t>Accounts receivable</t>
  </si>
  <si>
    <t>Short-term bank credit</t>
  </si>
  <si>
    <t>Short-term financial investments</t>
  </si>
  <si>
    <t>Cash and cash equivalents</t>
  </si>
  <si>
    <r>
      <t>Total current assets</t>
    </r>
    <r>
      <rPr>
        <sz val="12"/>
        <color theme="1"/>
        <rFont val="Times New Roman"/>
        <family val="1"/>
      </rPr>
      <t xml:space="preserve"> ІІ</t>
    </r>
  </si>
  <si>
    <t>Total current liabilities ІІ</t>
  </si>
  <si>
    <t>Balance sheet</t>
  </si>
  <si>
    <t xml:space="preserve">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</si>
  <si>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</si>
  <si>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Planned income statement</t>
  </si>
  <si>
    <t>Amount, CZK.</t>
  </si>
  <si>
    <t xml:space="preserve">1. Revenue for the year </t>
  </si>
  <si>
    <t xml:space="preserve">2. Variable costs: </t>
  </si>
  <si>
    <t>2.1. Variable cost of sales</t>
  </si>
  <si>
    <t>2.2. Variable sales expenses</t>
  </si>
  <si>
    <t xml:space="preserve">2.3. Doubtful debts  </t>
  </si>
  <si>
    <t xml:space="preserve">3. Total variable costs </t>
  </si>
  <si>
    <t xml:space="preserve">4. Marginal income (row 1- row 3) </t>
  </si>
  <si>
    <t xml:space="preserve">5. Fixed costs: </t>
  </si>
  <si>
    <t>5.1. Other direct costs</t>
  </si>
  <si>
    <t>5.2. General production costs</t>
  </si>
  <si>
    <t>5.3. Administrative expenses</t>
  </si>
  <si>
    <t>6. Total fixed costs</t>
  </si>
  <si>
    <t>7. Net production profit (row 4 - row 6)</t>
  </si>
  <si>
    <t>Variable cost of production per unit * quantity  of finished products sale for the year=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</si>
</sst>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justify"/>
    </xf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9" fontId="0" fillId="0" borderId="0" xfId="0" applyNumberFormat="1"/>
    <xf numFmtId="2" fontId="5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0" borderId="14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2" fontId="7" fillId="0" borderId="8" xfId="0" applyNumberFormat="1" applyFont="1" applyBorder="1" applyAlignment="1">
      <alignment vertical="center" wrapText="1"/>
    </xf>
    <xf numFmtId="2" fontId="7" fillId="0" borderId="2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7"/>
  <sheetViews>
    <sheetView tabSelected="1" topLeftCell="A145" zoomScale="90" zoomScaleNormal="90" workbookViewId="0">
      <selection activeCell="F160" sqref="F160"/>
    </sheetView>
  </sheetViews>
  <sheetFormatPr defaultRowHeight="15"/>
  <cols>
    <col min="1" max="1" width="27.85546875" style="2" bestFit="1" customWidth="1"/>
    <col min="2" max="2" width="7.140625" style="2" bestFit="1" customWidth="1"/>
    <col min="4" max="4" width="22.85546875" customWidth="1"/>
    <col min="5" max="5" width="13.7109375" bestFit="1" customWidth="1"/>
    <col min="6" max="6" width="13.5703125" bestFit="1" customWidth="1"/>
    <col min="7" max="7" width="33" customWidth="1"/>
    <col min="8" max="8" width="11.28515625" customWidth="1"/>
    <col min="9" max="9" width="13.140625" bestFit="1" customWidth="1"/>
    <col min="10" max="10" width="10" customWidth="1"/>
    <col min="11" max="11" width="9.5703125" bestFit="1" customWidth="1"/>
    <col min="14" max="14" width="14.42578125" customWidth="1"/>
    <col min="15" max="15" width="15.7109375" customWidth="1"/>
    <col min="16" max="16" width="21.42578125" customWidth="1"/>
    <col min="17" max="17" width="23" customWidth="1"/>
  </cols>
  <sheetData>
    <row r="1" spans="1:14" ht="15.75" thickBot="1">
      <c r="A1" s="1" t="s">
        <v>0</v>
      </c>
      <c r="B1" s="1">
        <v>7</v>
      </c>
    </row>
    <row r="2" spans="1:14" ht="79.5" thickBot="1">
      <c r="D2" t="s">
        <v>47</v>
      </c>
      <c r="E2" s="11" t="s">
        <v>48</v>
      </c>
      <c r="F2" s="12" t="s">
        <v>49</v>
      </c>
      <c r="G2" t="s">
        <v>53</v>
      </c>
      <c r="H2" s="11" t="s">
        <v>48</v>
      </c>
      <c r="I2" s="12" t="s">
        <v>49</v>
      </c>
    </row>
    <row r="3" spans="1:14" ht="31.5">
      <c r="A3" s="9" t="s">
        <v>1</v>
      </c>
      <c r="B3" s="10">
        <v>5485</v>
      </c>
      <c r="C3" t="s">
        <v>43</v>
      </c>
      <c r="D3" s="13" t="s">
        <v>50</v>
      </c>
      <c r="G3" s="13" t="s">
        <v>52</v>
      </c>
    </row>
    <row r="4" spans="1:14" ht="31.5">
      <c r="A4" s="9" t="s">
        <v>2</v>
      </c>
      <c r="B4" s="10">
        <v>24000</v>
      </c>
      <c r="C4" t="s">
        <v>44</v>
      </c>
      <c r="D4" s="9" t="s">
        <v>12</v>
      </c>
      <c r="E4" s="10">
        <v>28600</v>
      </c>
      <c r="G4" s="9" t="s">
        <v>2</v>
      </c>
      <c r="H4" s="10">
        <v>24000</v>
      </c>
    </row>
    <row r="5" spans="1:14" ht="31.5">
      <c r="A5" s="9" t="s">
        <v>3</v>
      </c>
      <c r="B5" s="10">
        <v>4500</v>
      </c>
      <c r="C5" t="s">
        <v>45</v>
      </c>
      <c r="D5" s="9" t="s">
        <v>9</v>
      </c>
      <c r="E5" s="10">
        <v>17920</v>
      </c>
      <c r="G5" s="9" t="s">
        <v>6</v>
      </c>
      <c r="H5" s="10">
        <v>15200</v>
      </c>
    </row>
    <row r="6" spans="1:14" ht="31.5">
      <c r="A6" s="9" t="s">
        <v>4</v>
      </c>
      <c r="B6" s="10">
        <v>785</v>
      </c>
      <c r="C6" t="s">
        <v>45</v>
      </c>
      <c r="D6" s="9" t="s">
        <v>11</v>
      </c>
      <c r="E6" s="10">
        <v>-10100</v>
      </c>
    </row>
    <row r="7" spans="1:14" ht="31.5">
      <c r="A7" s="9" t="s">
        <v>5</v>
      </c>
      <c r="B7" s="10">
        <v>3000</v>
      </c>
      <c r="C7" t="s">
        <v>45</v>
      </c>
      <c r="D7" s="13" t="s">
        <v>51</v>
      </c>
      <c r="G7" s="13" t="s">
        <v>54</v>
      </c>
    </row>
    <row r="8" spans="1:14" ht="15.75">
      <c r="A8" s="9" t="s">
        <v>6</v>
      </c>
      <c r="B8" s="10">
        <v>15200</v>
      </c>
      <c r="C8" t="s">
        <v>44</v>
      </c>
      <c r="D8" s="9" t="s">
        <v>8</v>
      </c>
      <c r="E8" s="10">
        <v>8250</v>
      </c>
      <c r="G8" s="9" t="s">
        <v>1</v>
      </c>
      <c r="H8" s="10">
        <v>5485</v>
      </c>
    </row>
    <row r="9" spans="1:14" ht="31.5">
      <c r="A9" s="9" t="s">
        <v>7</v>
      </c>
      <c r="B9" s="10">
        <v>3920</v>
      </c>
      <c r="C9" t="s">
        <v>43</v>
      </c>
      <c r="D9" s="9" t="s">
        <v>4</v>
      </c>
      <c r="E9" s="10">
        <v>785</v>
      </c>
      <c r="G9" s="9" t="s">
        <v>7</v>
      </c>
      <c r="H9" s="10">
        <v>3920</v>
      </c>
    </row>
    <row r="10" spans="1:14" ht="31.5">
      <c r="A10" s="9" t="s">
        <v>8</v>
      </c>
      <c r="B10" s="10">
        <v>8250</v>
      </c>
      <c r="C10" t="s">
        <v>45</v>
      </c>
      <c r="D10" s="9" t="s">
        <v>3</v>
      </c>
      <c r="E10" s="10">
        <v>4500</v>
      </c>
      <c r="G10" s="9" t="s">
        <v>10</v>
      </c>
      <c r="H10" s="10">
        <v>4350</v>
      </c>
    </row>
    <row r="11" spans="1:14" ht="31.5">
      <c r="A11" s="9" t="s">
        <v>9</v>
      </c>
      <c r="B11" s="10">
        <v>17920</v>
      </c>
      <c r="C11" t="s">
        <v>45</v>
      </c>
      <c r="D11" s="9" t="s">
        <v>5</v>
      </c>
      <c r="E11" s="10">
        <v>3000</v>
      </c>
      <c r="N11" t="s">
        <v>229</v>
      </c>
    </row>
    <row r="12" spans="1:14" ht="15.75">
      <c r="A12" s="9" t="s">
        <v>10</v>
      </c>
      <c r="B12" s="10">
        <v>4350</v>
      </c>
      <c r="C12" t="s">
        <v>43</v>
      </c>
      <c r="D12" s="13" t="s">
        <v>55</v>
      </c>
      <c r="E12">
        <f>SUM(E4:E11)</f>
        <v>52955</v>
      </c>
      <c r="G12" s="13" t="s">
        <v>55</v>
      </c>
      <c r="H12">
        <f>SUM(H4:H10)</f>
        <v>52955</v>
      </c>
    </row>
    <row r="13" spans="1:14" ht="31.5">
      <c r="A13" s="9" t="s">
        <v>11</v>
      </c>
      <c r="B13" s="10">
        <v>10100</v>
      </c>
      <c r="C13" t="s">
        <v>46</v>
      </c>
    </row>
    <row r="14" spans="1:14" ht="32.25" thickBot="1">
      <c r="A14" s="9" t="s">
        <v>12</v>
      </c>
      <c r="B14" s="10">
        <v>28600</v>
      </c>
      <c r="C14" t="s">
        <v>45</v>
      </c>
      <c r="G14" s="17" t="s">
        <v>67</v>
      </c>
    </row>
    <row r="15" spans="1:14" ht="48" thickBot="1">
      <c r="A15" s="4" t="s">
        <v>13</v>
      </c>
      <c r="B15" s="6">
        <v>68</v>
      </c>
      <c r="D15" s="76" t="s">
        <v>56</v>
      </c>
      <c r="E15" s="78" t="s">
        <v>57</v>
      </c>
      <c r="F15" s="79"/>
      <c r="G15" s="79"/>
      <c r="H15" s="80"/>
      <c r="I15" s="76" t="s">
        <v>58</v>
      </c>
      <c r="J15" s="78" t="s">
        <v>57</v>
      </c>
      <c r="K15" s="80"/>
    </row>
    <row r="16" spans="1:14" ht="32.25" thickBot="1">
      <c r="A16" s="4" t="s">
        <v>14</v>
      </c>
      <c r="B16" s="6">
        <v>30</v>
      </c>
      <c r="D16" s="77"/>
      <c r="E16" s="14" t="s">
        <v>59</v>
      </c>
      <c r="F16" s="14" t="s">
        <v>60</v>
      </c>
      <c r="G16" s="14" t="s">
        <v>61</v>
      </c>
      <c r="H16" s="14" t="s">
        <v>62</v>
      </c>
      <c r="I16" s="77"/>
      <c r="J16" s="14" t="s">
        <v>59</v>
      </c>
      <c r="K16" s="14" t="s">
        <v>60</v>
      </c>
    </row>
    <row r="17" spans="1:11" ht="32.25" thickBot="1">
      <c r="A17" s="3" t="s">
        <v>15</v>
      </c>
      <c r="B17" s="6">
        <v>13</v>
      </c>
      <c r="D17" s="15" t="s">
        <v>63</v>
      </c>
      <c r="E17" s="6">
        <v>470</v>
      </c>
      <c r="F17" s="6">
        <v>440</v>
      </c>
      <c r="G17" s="6">
        <v>450</v>
      </c>
      <c r="H17" s="6">
        <v>460</v>
      </c>
      <c r="I17" s="14">
        <f>SUM(E17:H17)</f>
        <v>1820</v>
      </c>
      <c r="J17" s="14">
        <v>470</v>
      </c>
      <c r="K17" s="14">
        <v>480</v>
      </c>
    </row>
    <row r="18" spans="1:11" ht="32.25" thickBot="1">
      <c r="A18" s="3" t="s">
        <v>16</v>
      </c>
      <c r="B18" s="6">
        <v>13</v>
      </c>
      <c r="D18" s="15" t="s">
        <v>64</v>
      </c>
      <c r="E18" s="6">
        <v>138</v>
      </c>
      <c r="F18" s="6">
        <v>138</v>
      </c>
      <c r="G18" s="6">
        <v>138</v>
      </c>
      <c r="H18" s="6">
        <v>138</v>
      </c>
      <c r="I18" s="6">
        <v>138</v>
      </c>
      <c r="J18" s="6">
        <v>138</v>
      </c>
      <c r="K18" s="6">
        <v>138</v>
      </c>
    </row>
    <row r="19" spans="1:11" ht="31.5">
      <c r="A19" s="4" t="s">
        <v>17</v>
      </c>
      <c r="B19" s="6">
        <v>75</v>
      </c>
      <c r="D19" s="16" t="s">
        <v>65</v>
      </c>
      <c r="E19" s="74">
        <f>E17*E18</f>
        <v>64860</v>
      </c>
      <c r="F19" s="74">
        <f>F17*F18</f>
        <v>60720</v>
      </c>
      <c r="G19" s="74">
        <f t="shared" ref="G19:K19" si="0">G17*G18</f>
        <v>62100</v>
      </c>
      <c r="H19" s="74">
        <f t="shared" si="0"/>
        <v>63480</v>
      </c>
      <c r="I19" s="74">
        <f>I17*I18</f>
        <v>251160</v>
      </c>
      <c r="J19" s="74">
        <f t="shared" si="0"/>
        <v>64860</v>
      </c>
      <c r="K19" s="74">
        <f t="shared" si="0"/>
        <v>66240</v>
      </c>
    </row>
    <row r="20" spans="1:11" ht="16.5" thickBot="1">
      <c r="A20" s="4" t="s">
        <v>18</v>
      </c>
      <c r="B20" s="6">
        <v>25</v>
      </c>
      <c r="D20" s="15" t="s">
        <v>66</v>
      </c>
      <c r="E20" s="75"/>
      <c r="F20" s="75"/>
      <c r="G20" s="75"/>
      <c r="H20" s="75"/>
      <c r="I20" s="75"/>
      <c r="J20" s="75"/>
      <c r="K20" s="75"/>
    </row>
    <row r="21" spans="1:11" ht="31.5">
      <c r="A21" s="3" t="s">
        <v>19</v>
      </c>
      <c r="B21" s="6">
        <v>5</v>
      </c>
    </row>
    <row r="22" spans="1:11" ht="15.75">
      <c r="A22" s="3" t="s">
        <v>20</v>
      </c>
      <c r="B22" s="6">
        <v>6804</v>
      </c>
    </row>
    <row r="23" spans="1:11" ht="32.25" thickBot="1">
      <c r="A23" s="3" t="s">
        <v>21</v>
      </c>
      <c r="B23" s="6">
        <v>3</v>
      </c>
      <c r="D23" s="81" t="s">
        <v>68</v>
      </c>
      <c r="E23" s="81"/>
      <c r="F23" s="81"/>
      <c r="G23" s="81"/>
      <c r="H23" s="81"/>
      <c r="I23" s="81"/>
      <c r="J23" s="81"/>
      <c r="K23" s="81"/>
    </row>
    <row r="24" spans="1:11" ht="32.25" thickBot="1">
      <c r="A24" s="3" t="s">
        <v>22</v>
      </c>
      <c r="B24" s="6">
        <v>235</v>
      </c>
      <c r="D24" s="76" t="s">
        <v>69</v>
      </c>
      <c r="E24" s="78" t="s">
        <v>57</v>
      </c>
      <c r="F24" s="79"/>
      <c r="G24" s="79"/>
      <c r="H24" s="80"/>
      <c r="I24" s="76" t="s">
        <v>70</v>
      </c>
      <c r="J24" s="78" t="s">
        <v>57</v>
      </c>
      <c r="K24" s="80"/>
    </row>
    <row r="25" spans="1:11" ht="32.25" thickBot="1">
      <c r="A25" s="3" t="s">
        <v>23</v>
      </c>
      <c r="B25" s="6">
        <v>5</v>
      </c>
      <c r="D25" s="77"/>
      <c r="E25" s="14" t="s">
        <v>59</v>
      </c>
      <c r="F25" s="14" t="s">
        <v>60</v>
      </c>
      <c r="G25" s="14" t="s">
        <v>61</v>
      </c>
      <c r="H25" s="14" t="s">
        <v>62</v>
      </c>
      <c r="I25" s="77"/>
      <c r="J25" s="18" t="s">
        <v>59</v>
      </c>
      <c r="K25" s="18" t="s">
        <v>60</v>
      </c>
    </row>
    <row r="26" spans="1:11" ht="32.25" thickBot="1">
      <c r="A26" s="3" t="s">
        <v>24</v>
      </c>
      <c r="B26" s="6">
        <v>7</v>
      </c>
      <c r="C26" s="19">
        <v>0.13</v>
      </c>
      <c r="D26" s="15" t="s">
        <v>63</v>
      </c>
      <c r="E26" s="6">
        <f>E17</f>
        <v>470</v>
      </c>
      <c r="F26" s="6">
        <f t="shared" ref="F26:K26" si="1">F17</f>
        <v>440</v>
      </c>
      <c r="G26" s="6">
        <f t="shared" si="1"/>
        <v>450</v>
      </c>
      <c r="H26" s="6">
        <f t="shared" si="1"/>
        <v>460</v>
      </c>
      <c r="I26" s="6">
        <f t="shared" si="1"/>
        <v>1820</v>
      </c>
      <c r="J26" s="6">
        <f t="shared" si="1"/>
        <v>470</v>
      </c>
      <c r="K26" s="6">
        <f t="shared" si="1"/>
        <v>480</v>
      </c>
    </row>
    <row r="27" spans="1:11" ht="48" thickBot="1">
      <c r="A27" s="3" t="s">
        <v>25</v>
      </c>
      <c r="B27" s="7">
        <v>819.45</v>
      </c>
      <c r="D27" s="23" t="s">
        <v>71</v>
      </c>
      <c r="E27" s="24">
        <f>C26*F26</f>
        <v>57.2</v>
      </c>
      <c r="F27" s="24">
        <f>C26*G26</f>
        <v>58.5</v>
      </c>
      <c r="G27" s="24">
        <f>C26*H26</f>
        <v>59.800000000000004</v>
      </c>
      <c r="H27" s="24">
        <f>C26*J26</f>
        <v>61.1</v>
      </c>
      <c r="I27" s="24"/>
      <c r="J27" s="24">
        <f>C26*K26</f>
        <v>62.400000000000006</v>
      </c>
      <c r="K27" s="24"/>
    </row>
    <row r="28" spans="1:11" ht="48" thickBot="1">
      <c r="A28" s="3" t="s">
        <v>26</v>
      </c>
      <c r="B28" s="7">
        <v>546.29999999999995</v>
      </c>
      <c r="D28" s="23" t="s">
        <v>72</v>
      </c>
      <c r="E28" s="24">
        <f>E26+E27</f>
        <v>527.20000000000005</v>
      </c>
      <c r="F28" s="24">
        <f t="shared" ref="F28:H28" si="2">F26+F27</f>
        <v>498.5</v>
      </c>
      <c r="G28" s="24">
        <f t="shared" si="2"/>
        <v>509.8</v>
      </c>
      <c r="H28" s="24">
        <f t="shared" si="2"/>
        <v>521.1</v>
      </c>
      <c r="I28" s="24">
        <f>SUM(E28:H28)</f>
        <v>2056.6</v>
      </c>
      <c r="J28" s="24">
        <f>J26+J27</f>
        <v>532.4</v>
      </c>
      <c r="K28" s="24"/>
    </row>
    <row r="29" spans="1:11" ht="63.75" thickBot="1">
      <c r="A29" s="5" t="s">
        <v>27</v>
      </c>
      <c r="B29" s="6">
        <v>66</v>
      </c>
      <c r="D29" s="23" t="s">
        <v>73</v>
      </c>
      <c r="E29" s="25">
        <f>B10/B44</f>
        <v>93.653165807581559</v>
      </c>
      <c r="F29" s="24">
        <f>E27</f>
        <v>57.2</v>
      </c>
      <c r="G29" s="24">
        <f t="shared" ref="G29:K29" si="3">F27</f>
        <v>58.5</v>
      </c>
      <c r="H29" s="24">
        <f>G27</f>
        <v>59.800000000000004</v>
      </c>
      <c r="I29" s="26"/>
      <c r="J29" s="24">
        <f>H27</f>
        <v>61.1</v>
      </c>
      <c r="K29" s="24">
        <f t="shared" si="3"/>
        <v>62.400000000000006</v>
      </c>
    </row>
    <row r="30" spans="1:11" ht="48" thickBot="1">
      <c r="A30" s="3" t="s">
        <v>28</v>
      </c>
      <c r="B30" s="6">
        <v>1.8</v>
      </c>
      <c r="D30" s="23" t="s">
        <v>74</v>
      </c>
      <c r="E30" s="24">
        <f>E28-E29</f>
        <v>433.54683419241849</v>
      </c>
      <c r="F30" s="24">
        <f>F28-F29</f>
        <v>441.3</v>
      </c>
      <c r="G30" s="24">
        <f t="shared" ref="G30:J30" si="4">G28-G29</f>
        <v>451.3</v>
      </c>
      <c r="H30" s="24">
        <f>H28-H29</f>
        <v>461.3</v>
      </c>
      <c r="I30" s="24">
        <f>SUM(E30:H30)</f>
        <v>1787.4468341924185</v>
      </c>
      <c r="J30" s="24">
        <f t="shared" si="4"/>
        <v>471.29999999999995</v>
      </c>
      <c r="K30" s="24"/>
    </row>
    <row r="31" spans="1:11" ht="15.75">
      <c r="A31" s="3" t="s">
        <v>29</v>
      </c>
      <c r="B31" s="6">
        <v>1.6</v>
      </c>
    </row>
    <row r="32" spans="1:11" ht="31.5">
      <c r="A32" s="3" t="s">
        <v>30</v>
      </c>
      <c r="B32" s="6">
        <v>3000</v>
      </c>
    </row>
    <row r="33" spans="1:11" ht="47.25">
      <c r="A33" s="3" t="s">
        <v>31</v>
      </c>
      <c r="B33" s="6">
        <v>4465</v>
      </c>
    </row>
    <row r="34" spans="1:11" ht="48" thickBot="1">
      <c r="A34" s="3" t="s">
        <v>32</v>
      </c>
      <c r="B34" s="6">
        <v>4536</v>
      </c>
      <c r="C34" s="82" t="s">
        <v>75</v>
      </c>
      <c r="D34" s="83"/>
      <c r="E34" s="83"/>
      <c r="F34" s="83"/>
      <c r="G34" s="83"/>
      <c r="H34" s="83"/>
      <c r="I34" s="83"/>
      <c r="J34" s="83"/>
      <c r="K34" s="83"/>
    </row>
    <row r="35" spans="1:11" ht="32.25" thickBot="1">
      <c r="A35" s="3" t="s">
        <v>33</v>
      </c>
      <c r="B35" s="6">
        <v>16</v>
      </c>
      <c r="D35" s="76" t="s">
        <v>69</v>
      </c>
      <c r="E35" s="78" t="s">
        <v>57</v>
      </c>
      <c r="F35" s="79"/>
      <c r="G35" s="79"/>
      <c r="H35" s="80"/>
      <c r="I35" s="76" t="s">
        <v>70</v>
      </c>
      <c r="J35" s="78" t="s">
        <v>57</v>
      </c>
      <c r="K35" s="80"/>
    </row>
    <row r="36" spans="1:11" ht="16.5" thickBot="1">
      <c r="A36" s="3" t="s">
        <v>34</v>
      </c>
      <c r="B36" s="6">
        <v>25</v>
      </c>
      <c r="D36" s="77"/>
      <c r="E36" s="14" t="s">
        <v>59</v>
      </c>
      <c r="F36" s="14" t="s">
        <v>60</v>
      </c>
      <c r="G36" s="14" t="s">
        <v>61</v>
      </c>
      <c r="H36" s="14" t="s">
        <v>62</v>
      </c>
      <c r="I36" s="77"/>
      <c r="J36" s="14" t="s">
        <v>59</v>
      </c>
      <c r="K36" s="14" t="s">
        <v>60</v>
      </c>
    </row>
    <row r="37" spans="1:11" ht="48" thickBot="1">
      <c r="A37" s="3" t="s">
        <v>35</v>
      </c>
      <c r="B37" s="6">
        <v>6000</v>
      </c>
      <c r="D37" s="15" t="s">
        <v>76</v>
      </c>
      <c r="E37" s="20">
        <f>E30</f>
        <v>433.54683419241849</v>
      </c>
      <c r="F37" s="20">
        <f t="shared" ref="F37:K37" si="5">F30</f>
        <v>441.3</v>
      </c>
      <c r="G37" s="20">
        <f t="shared" si="5"/>
        <v>451.3</v>
      </c>
      <c r="H37" s="20">
        <f t="shared" si="5"/>
        <v>461.3</v>
      </c>
      <c r="I37" s="20">
        <f t="shared" si="5"/>
        <v>1787.4468341924185</v>
      </c>
      <c r="J37" s="20">
        <f t="shared" si="5"/>
        <v>471.29999999999995</v>
      </c>
      <c r="K37" s="20">
        <f t="shared" si="5"/>
        <v>0</v>
      </c>
    </row>
    <row r="38" spans="1:11" ht="48" thickBot="1">
      <c r="A38" s="3" t="s">
        <v>36</v>
      </c>
      <c r="B38" s="6">
        <v>25</v>
      </c>
      <c r="D38" s="15" t="s">
        <v>77</v>
      </c>
      <c r="E38" s="20">
        <v>3</v>
      </c>
      <c r="F38" s="20">
        <v>3</v>
      </c>
      <c r="G38" s="20">
        <v>3</v>
      </c>
      <c r="H38" s="20">
        <v>3</v>
      </c>
      <c r="I38" s="20"/>
      <c r="J38" s="20">
        <v>3</v>
      </c>
      <c r="K38" s="20"/>
    </row>
    <row r="39" spans="1:11" ht="63.75" thickBot="1">
      <c r="A39" s="3" t="s">
        <v>37</v>
      </c>
      <c r="B39" s="6">
        <v>138</v>
      </c>
      <c r="D39" s="15" t="s">
        <v>78</v>
      </c>
      <c r="E39" s="20">
        <f>E37*E38</f>
        <v>1300.6405025772556</v>
      </c>
      <c r="F39" s="20">
        <f t="shared" ref="F39:H39" si="6">F37*F38</f>
        <v>1323.9</v>
      </c>
      <c r="G39" s="20">
        <f t="shared" si="6"/>
        <v>1353.9</v>
      </c>
      <c r="H39" s="20">
        <f t="shared" si="6"/>
        <v>1383.9</v>
      </c>
      <c r="I39" s="20">
        <f>SUM(E39:H39)</f>
        <v>5362.3405025772554</v>
      </c>
      <c r="J39" s="20">
        <f>J37*J38</f>
        <v>1413.8999999999999</v>
      </c>
      <c r="K39" s="20"/>
    </row>
    <row r="40" spans="1:11" ht="48" thickBot="1">
      <c r="A40" s="3" t="s">
        <v>38</v>
      </c>
      <c r="B40" s="6">
        <v>470</v>
      </c>
      <c r="C40" s="19">
        <v>0.13</v>
      </c>
      <c r="D40" s="15" t="s">
        <v>79</v>
      </c>
      <c r="E40" s="20">
        <f>C40*F39</f>
        <v>172.10700000000003</v>
      </c>
      <c r="F40" s="20">
        <f>C40*G39</f>
        <v>176.00700000000001</v>
      </c>
      <c r="G40" s="20">
        <f>C40*H39</f>
        <v>179.90700000000001</v>
      </c>
      <c r="H40" s="20">
        <f>C40*J39</f>
        <v>183.80699999999999</v>
      </c>
      <c r="I40" s="22"/>
      <c r="J40" s="20"/>
      <c r="K40" s="20">
        <f t="shared" ref="K40" si="7">F40*M39</f>
        <v>0</v>
      </c>
    </row>
    <row r="41" spans="1:11" ht="63.75" thickBot="1">
      <c r="A41" s="6" t="s">
        <v>39</v>
      </c>
      <c r="B41" s="6">
        <v>440</v>
      </c>
      <c r="D41" s="15" t="s">
        <v>80</v>
      </c>
      <c r="E41" s="20">
        <f>E39+E40</f>
        <v>1472.7475025772555</v>
      </c>
      <c r="F41" s="20">
        <f t="shared" ref="F41:H41" si="8">F39+F40</f>
        <v>1499.9070000000002</v>
      </c>
      <c r="G41" s="20">
        <f t="shared" si="8"/>
        <v>1533.807</v>
      </c>
      <c r="H41" s="20">
        <f t="shared" si="8"/>
        <v>1567.7070000000001</v>
      </c>
      <c r="I41" s="20">
        <f>SUM(E41:H41)</f>
        <v>6074.1685025772558</v>
      </c>
      <c r="J41" s="20"/>
      <c r="K41" s="20"/>
    </row>
    <row r="42" spans="1:11" ht="63.75" thickBot="1">
      <c r="A42" s="6" t="s">
        <v>40</v>
      </c>
      <c r="B42" s="6">
        <v>450</v>
      </c>
      <c r="D42" s="15" t="s">
        <v>81</v>
      </c>
      <c r="E42" s="21">
        <f>B6/B21</f>
        <v>157</v>
      </c>
      <c r="F42" s="20">
        <f>E40</f>
        <v>172.10700000000003</v>
      </c>
      <c r="G42" s="20">
        <f t="shared" ref="G42:K42" si="9">F40</f>
        <v>176.00700000000001</v>
      </c>
      <c r="H42" s="20">
        <f t="shared" si="9"/>
        <v>179.90700000000001</v>
      </c>
      <c r="I42" s="20"/>
      <c r="J42" s="20">
        <f>H40</f>
        <v>183.80699999999999</v>
      </c>
      <c r="K42" s="20">
        <f t="shared" si="9"/>
        <v>0</v>
      </c>
    </row>
    <row r="43" spans="1:11" ht="63.75" thickBot="1">
      <c r="A43" s="6" t="s">
        <v>41</v>
      </c>
      <c r="B43" s="6">
        <v>460</v>
      </c>
      <c r="D43" s="15" t="s">
        <v>82</v>
      </c>
      <c r="E43" s="20">
        <f>E41-E42</f>
        <v>1315.7475025772555</v>
      </c>
      <c r="F43" s="20">
        <f>F41-F42</f>
        <v>1327.8000000000002</v>
      </c>
      <c r="G43" s="20">
        <f t="shared" ref="G43:K43" si="10">G41-G42</f>
        <v>1357.8</v>
      </c>
      <c r="H43" s="20">
        <f t="shared" si="10"/>
        <v>1387.8000000000002</v>
      </c>
      <c r="I43" s="20">
        <f t="shared" ref="I43" si="11">SUM(E43:H43)</f>
        <v>5389.1475025772561</v>
      </c>
      <c r="J43" s="20"/>
      <c r="K43" s="20">
        <f t="shared" si="10"/>
        <v>0</v>
      </c>
    </row>
    <row r="44" spans="1:11" ht="32.25" thickBot="1">
      <c r="A44" s="5" t="s">
        <v>42</v>
      </c>
      <c r="B44" s="8">
        <v>88.09098901098902</v>
      </c>
      <c r="D44" s="15" t="s">
        <v>83</v>
      </c>
      <c r="E44" s="20">
        <f>B21</f>
        <v>5</v>
      </c>
      <c r="F44" s="20">
        <v>5</v>
      </c>
      <c r="G44" s="20">
        <v>5</v>
      </c>
      <c r="H44" s="20">
        <v>5</v>
      </c>
      <c r="I44" s="20"/>
      <c r="J44" s="20"/>
      <c r="K44" s="20"/>
    </row>
    <row r="45" spans="1:11" ht="48" thickBot="1">
      <c r="D45" s="15" t="s">
        <v>84</v>
      </c>
      <c r="E45" s="20">
        <f>E43*E44</f>
        <v>6578.7375128862777</v>
      </c>
      <c r="F45" s="20">
        <f>F43*F44</f>
        <v>6639.0000000000009</v>
      </c>
      <c r="G45" s="20">
        <f t="shared" ref="G45" si="12">G43*G44</f>
        <v>6789</v>
      </c>
      <c r="H45" s="20">
        <f>H43*H44</f>
        <v>6939.0000000000009</v>
      </c>
      <c r="I45" s="20">
        <f>SUM(E45:H45)</f>
        <v>26945.737512886277</v>
      </c>
      <c r="J45" s="20"/>
      <c r="K45" s="20"/>
    </row>
    <row r="50" spans="4:9" ht="16.5" thickBot="1">
      <c r="D50" s="68" t="s">
        <v>85</v>
      </c>
      <c r="E50" s="68"/>
      <c r="F50" s="68"/>
      <c r="G50" s="68"/>
      <c r="H50" s="68"/>
      <c r="I50" s="68"/>
    </row>
    <row r="51" spans="4:9" ht="16.5" thickBot="1">
      <c r="D51" s="69" t="s">
        <v>69</v>
      </c>
      <c r="E51" s="71" t="s">
        <v>57</v>
      </c>
      <c r="F51" s="72"/>
      <c r="G51" s="72"/>
      <c r="H51" s="73"/>
      <c r="I51" s="69" t="s">
        <v>70</v>
      </c>
    </row>
    <row r="52" spans="4:9" ht="16.5" thickBot="1">
      <c r="D52" s="70"/>
      <c r="E52" s="27" t="s">
        <v>59</v>
      </c>
      <c r="F52" s="27" t="s">
        <v>60</v>
      </c>
      <c r="G52" s="27" t="s">
        <v>61</v>
      </c>
      <c r="H52" s="27" t="s">
        <v>62</v>
      </c>
      <c r="I52" s="70"/>
    </row>
    <row r="53" spans="4:9" ht="48" thickBot="1">
      <c r="D53" s="28" t="s">
        <v>76</v>
      </c>
      <c r="E53" s="30">
        <f>E37</f>
        <v>433.54683419241849</v>
      </c>
      <c r="F53" s="30">
        <f t="shared" ref="F53:I53" si="13">F37</f>
        <v>441.3</v>
      </c>
      <c r="G53" s="30">
        <f t="shared" si="13"/>
        <v>451.3</v>
      </c>
      <c r="H53" s="30">
        <f t="shared" si="13"/>
        <v>461.3</v>
      </c>
      <c r="I53" s="30">
        <f t="shared" si="13"/>
        <v>1787.4468341924185</v>
      </c>
    </row>
    <row r="54" spans="4:9" ht="48" thickBot="1">
      <c r="D54" s="28" t="s">
        <v>86</v>
      </c>
      <c r="E54" s="27">
        <v>5</v>
      </c>
      <c r="F54" s="27">
        <v>5</v>
      </c>
      <c r="G54" s="27">
        <v>5</v>
      </c>
      <c r="H54" s="27">
        <v>5</v>
      </c>
      <c r="I54" s="27">
        <v>5</v>
      </c>
    </row>
    <row r="55" spans="4:9" ht="63.75" thickBot="1">
      <c r="D55" s="28" t="s">
        <v>87</v>
      </c>
      <c r="E55" s="27">
        <f>E53*E54</f>
        <v>2167.7341709620923</v>
      </c>
      <c r="F55" s="27">
        <f t="shared" ref="F55:I55" si="14">F53*F54</f>
        <v>2206.5</v>
      </c>
      <c r="G55" s="27">
        <f t="shared" si="14"/>
        <v>2256.5</v>
      </c>
      <c r="H55" s="27">
        <f>H53*H54</f>
        <v>2306.5</v>
      </c>
      <c r="I55" s="27">
        <f t="shared" si="14"/>
        <v>8937.2341709620923</v>
      </c>
    </row>
    <row r="56" spans="4:9" ht="48" thickBot="1">
      <c r="D56" s="28" t="s">
        <v>88</v>
      </c>
      <c r="E56" s="27">
        <v>7</v>
      </c>
      <c r="F56" s="27">
        <v>7</v>
      </c>
      <c r="G56" s="27">
        <v>7</v>
      </c>
      <c r="H56" s="27">
        <v>7</v>
      </c>
      <c r="I56" s="27">
        <v>7</v>
      </c>
    </row>
    <row r="57" spans="4:9" ht="48" thickBot="1">
      <c r="D57" s="28" t="s">
        <v>89</v>
      </c>
      <c r="E57" s="29">
        <f>37/100*E55*E56</f>
        <v>5614.4315027918183</v>
      </c>
      <c r="F57" s="29">
        <f t="shared" ref="F57:H57" si="15">37/100*F55*F56</f>
        <v>5714.835</v>
      </c>
      <c r="G57" s="29">
        <f t="shared" si="15"/>
        <v>5844.335</v>
      </c>
      <c r="H57" s="29">
        <f t="shared" si="15"/>
        <v>5973.835</v>
      </c>
      <c r="I57" s="29">
        <f>SUM(E57:H57)</f>
        <v>23147.436502791817</v>
      </c>
    </row>
    <row r="58" spans="4:9" ht="48" thickBot="1">
      <c r="D58" s="28" t="s">
        <v>90</v>
      </c>
      <c r="E58" s="27">
        <f>E55*E56+E57</f>
        <v>20788.570699526463</v>
      </c>
      <c r="F58" s="27">
        <f t="shared" ref="F58:I58" si="16">F55*F56+F57</f>
        <v>21160.334999999999</v>
      </c>
      <c r="G58" s="27">
        <f t="shared" si="16"/>
        <v>21639.834999999999</v>
      </c>
      <c r="H58" s="27">
        <f t="shared" si="16"/>
        <v>22119.334999999999</v>
      </c>
      <c r="I58" s="27">
        <f t="shared" si="16"/>
        <v>85708.075699526467</v>
      </c>
    </row>
    <row r="61" spans="4:9" ht="16.5" thickBot="1">
      <c r="D61" s="68" t="s">
        <v>91</v>
      </c>
      <c r="E61" s="68"/>
      <c r="F61" s="68"/>
      <c r="G61" s="68"/>
      <c r="H61" s="68"/>
      <c r="I61" s="68"/>
    </row>
    <row r="62" spans="4:9" ht="16.5" thickBot="1">
      <c r="D62" s="69" t="s">
        <v>69</v>
      </c>
      <c r="E62" s="71" t="s">
        <v>57</v>
      </c>
      <c r="F62" s="72"/>
      <c r="G62" s="72"/>
      <c r="H62" s="73"/>
      <c r="I62" s="69" t="s">
        <v>70</v>
      </c>
    </row>
    <row r="63" spans="4:9" ht="16.5" thickBot="1">
      <c r="D63" s="70"/>
      <c r="E63" s="27" t="s">
        <v>59</v>
      </c>
      <c r="F63" s="27" t="s">
        <v>60</v>
      </c>
      <c r="G63" s="27" t="s">
        <v>61</v>
      </c>
      <c r="H63" s="27" t="s">
        <v>62</v>
      </c>
      <c r="I63" s="70"/>
    </row>
    <row r="64" spans="4:9" ht="16.5" thickBot="1">
      <c r="D64" s="28" t="s">
        <v>92</v>
      </c>
      <c r="E64" s="27"/>
      <c r="F64" s="27"/>
      <c r="G64" s="27"/>
      <c r="H64" s="27"/>
      <c r="I64" s="27"/>
    </row>
    <row r="65" spans="4:9" ht="16.5" thickBot="1">
      <c r="D65" s="28" t="s">
        <v>93</v>
      </c>
      <c r="E65" s="27">
        <f>1.6/100*E39*E44</f>
        <v>104.05124020618045</v>
      </c>
      <c r="F65" s="27">
        <f t="shared" ref="F65:H65" si="17">1.6/100*F39*F44</f>
        <v>105.91200000000001</v>
      </c>
      <c r="G65" s="27">
        <f t="shared" si="17"/>
        <v>108.31200000000001</v>
      </c>
      <c r="H65" s="27">
        <f t="shared" si="17"/>
        <v>110.71200000000002</v>
      </c>
      <c r="I65" s="27">
        <f>E65+F65+G65+H65</f>
        <v>428.98724020618045</v>
      </c>
    </row>
    <row r="66" spans="4:9" ht="32.25" thickBot="1">
      <c r="D66" s="28" t="s">
        <v>94</v>
      </c>
      <c r="E66" s="27">
        <v>819</v>
      </c>
      <c r="F66" s="27">
        <v>819</v>
      </c>
      <c r="G66" s="27">
        <v>819</v>
      </c>
      <c r="H66" s="27">
        <v>819</v>
      </c>
      <c r="I66" s="27">
        <f>E66+F66+G66+H66</f>
        <v>3276</v>
      </c>
    </row>
    <row r="67" spans="4:9" ht="32.25" thickBot="1">
      <c r="D67" s="28" t="s">
        <v>95</v>
      </c>
      <c r="E67" s="27">
        <f>66/100*E55*E56</f>
        <v>10014.931869844868</v>
      </c>
      <c r="F67" s="27">
        <f t="shared" ref="F67:H67" si="18">66/100*F55*F56</f>
        <v>10194.029999999999</v>
      </c>
      <c r="G67" s="27">
        <f t="shared" si="18"/>
        <v>10425.029999999999</v>
      </c>
      <c r="H67" s="27">
        <f t="shared" si="18"/>
        <v>10656.029999999999</v>
      </c>
      <c r="I67" s="27">
        <f>E67+F67+G67+H67</f>
        <v>41290.021869844866</v>
      </c>
    </row>
    <row r="68" spans="4:9" ht="16.5" thickBot="1">
      <c r="D68" s="28" t="s">
        <v>96</v>
      </c>
      <c r="E68" s="27">
        <f>E65+E66+E67</f>
        <v>10937.983110051049</v>
      </c>
      <c r="F68" s="27">
        <f t="shared" ref="F68:I68" si="19">F65+F66+F67</f>
        <v>11118.941999999999</v>
      </c>
      <c r="G68" s="27">
        <f t="shared" si="19"/>
        <v>11352.341999999999</v>
      </c>
      <c r="H68" s="27">
        <f t="shared" si="19"/>
        <v>11585.741999999998</v>
      </c>
      <c r="I68" s="27">
        <f t="shared" si="19"/>
        <v>44995.009110051047</v>
      </c>
    </row>
    <row r="69" spans="4:9" ht="32.25" thickBot="1">
      <c r="D69" s="28" t="s">
        <v>97</v>
      </c>
      <c r="E69" s="27">
        <f>E66</f>
        <v>819</v>
      </c>
      <c r="F69" s="27">
        <f t="shared" ref="F69:I69" si="20">F66</f>
        <v>819</v>
      </c>
      <c r="G69" s="27">
        <f t="shared" si="20"/>
        <v>819</v>
      </c>
      <c r="H69" s="27">
        <f t="shared" si="20"/>
        <v>819</v>
      </c>
      <c r="I69" s="27">
        <f t="shared" si="20"/>
        <v>3276</v>
      </c>
    </row>
    <row r="70" spans="4:9" ht="63.75" thickBot="1">
      <c r="D70" s="28" t="s">
        <v>98</v>
      </c>
      <c r="E70" s="27">
        <f>E68-E69</f>
        <v>10118.983110051049</v>
      </c>
      <c r="F70" s="27">
        <f t="shared" ref="F70:I70" si="21">F68-F69</f>
        <v>10299.941999999999</v>
      </c>
      <c r="G70" s="27">
        <f t="shared" si="21"/>
        <v>10533.341999999999</v>
      </c>
      <c r="H70" s="27">
        <f t="shared" si="21"/>
        <v>10766.741999999998</v>
      </c>
      <c r="I70" s="27">
        <f t="shared" si="21"/>
        <v>41719.009110051047</v>
      </c>
    </row>
    <row r="73" spans="4:9" ht="16.5" thickBot="1">
      <c r="D73" s="68" t="s">
        <v>99</v>
      </c>
      <c r="E73" s="68"/>
      <c r="F73" s="68"/>
      <c r="G73" s="68"/>
      <c r="H73" s="68"/>
      <c r="I73" s="68"/>
    </row>
    <row r="74" spans="4:9" ht="16.5" thickBot="1">
      <c r="D74" s="69" t="s">
        <v>69</v>
      </c>
      <c r="E74" s="71" t="s">
        <v>57</v>
      </c>
      <c r="F74" s="72"/>
      <c r="G74" s="72"/>
      <c r="H74" s="73"/>
      <c r="I74" s="69" t="s">
        <v>70</v>
      </c>
    </row>
    <row r="75" spans="4:9" ht="16.5" thickBot="1">
      <c r="D75" s="70"/>
      <c r="E75" s="27" t="s">
        <v>59</v>
      </c>
      <c r="F75" s="27" t="s">
        <v>60</v>
      </c>
      <c r="G75" s="27" t="s">
        <v>61</v>
      </c>
      <c r="H75" s="27" t="s">
        <v>62</v>
      </c>
      <c r="I75" s="70"/>
    </row>
    <row r="76" spans="4:9" ht="32.25" thickBot="1">
      <c r="D76" s="28" t="s">
        <v>100</v>
      </c>
      <c r="E76" s="27">
        <f>E39*E44</f>
        <v>6503.2025128862779</v>
      </c>
      <c r="F76" s="27">
        <f t="shared" ref="F76:H76" si="22">F39*F44</f>
        <v>6619.5</v>
      </c>
      <c r="G76" s="27">
        <f t="shared" si="22"/>
        <v>6769.5</v>
      </c>
      <c r="H76" s="27">
        <f t="shared" si="22"/>
        <v>6919.5</v>
      </c>
      <c r="I76" s="27">
        <f>E76+F76+G76+H76</f>
        <v>26811.702512886277</v>
      </c>
    </row>
    <row r="77" spans="4:9" ht="32.25" thickBot="1">
      <c r="D77" s="28" t="s">
        <v>101</v>
      </c>
      <c r="E77" s="27">
        <f>E58</f>
        <v>20788.570699526463</v>
      </c>
      <c r="F77" s="27">
        <f t="shared" ref="F77:I77" si="23">F58</f>
        <v>21160.334999999999</v>
      </c>
      <c r="G77" s="27">
        <f t="shared" si="23"/>
        <v>21639.834999999999</v>
      </c>
      <c r="H77" s="27">
        <f t="shared" si="23"/>
        <v>22119.334999999999</v>
      </c>
      <c r="I77" s="27">
        <f t="shared" si="23"/>
        <v>85708.075699526467</v>
      </c>
    </row>
    <row r="78" spans="4:9" ht="16.5" thickBot="1">
      <c r="D78" s="28" t="s">
        <v>102</v>
      </c>
      <c r="E78" s="27"/>
      <c r="F78" s="27"/>
      <c r="G78" s="27"/>
      <c r="H78" s="27"/>
      <c r="I78" s="27"/>
    </row>
    <row r="79" spans="4:9" ht="16.5" thickBot="1">
      <c r="D79" s="28" t="s">
        <v>103</v>
      </c>
      <c r="E79" s="27">
        <f>E65</f>
        <v>104.05124020618045</v>
      </c>
      <c r="F79" s="27">
        <f t="shared" ref="F79:I79" si="24">F65</f>
        <v>105.91200000000001</v>
      </c>
      <c r="G79" s="27">
        <f t="shared" si="24"/>
        <v>108.31200000000001</v>
      </c>
      <c r="H79" s="27">
        <f t="shared" si="24"/>
        <v>110.71200000000002</v>
      </c>
      <c r="I79" s="27">
        <f t="shared" si="24"/>
        <v>428.98724020618045</v>
      </c>
    </row>
    <row r="80" spans="4:9" ht="32.25" thickBot="1">
      <c r="D80" s="28" t="s">
        <v>104</v>
      </c>
      <c r="E80" s="27">
        <f>E69</f>
        <v>819</v>
      </c>
      <c r="F80" s="27">
        <f t="shared" ref="F80:I80" si="25">F69</f>
        <v>819</v>
      </c>
      <c r="G80" s="27">
        <f t="shared" si="25"/>
        <v>819</v>
      </c>
      <c r="H80" s="27">
        <f t="shared" si="25"/>
        <v>819</v>
      </c>
      <c r="I80" s="27">
        <f t="shared" si="25"/>
        <v>3276</v>
      </c>
    </row>
    <row r="81" spans="4:9" ht="32.25" thickBot="1">
      <c r="D81" s="28" t="s">
        <v>105</v>
      </c>
      <c r="E81" s="27">
        <f>E67</f>
        <v>10014.931869844868</v>
      </c>
      <c r="F81" s="27">
        <f t="shared" ref="F81:I81" si="26">F67</f>
        <v>10194.029999999999</v>
      </c>
      <c r="G81" s="27">
        <f t="shared" si="26"/>
        <v>10425.029999999999</v>
      </c>
      <c r="H81" s="27">
        <f t="shared" si="26"/>
        <v>10656.029999999999</v>
      </c>
      <c r="I81" s="27">
        <f t="shared" si="26"/>
        <v>41290.021869844866</v>
      </c>
    </row>
    <row r="82" spans="4:9" ht="63.75" thickBot="1">
      <c r="D82" s="28" t="s">
        <v>106</v>
      </c>
      <c r="E82" s="27">
        <f>SUM(E76:E81)</f>
        <v>38229.756322463785</v>
      </c>
      <c r="F82" s="27">
        <f t="shared" ref="F82:H82" si="27">SUM(F76:F81)</f>
        <v>38898.777000000002</v>
      </c>
      <c r="G82" s="27">
        <f t="shared" si="27"/>
        <v>39761.676999999996</v>
      </c>
      <c r="H82" s="27">
        <f t="shared" si="27"/>
        <v>40624.576999999997</v>
      </c>
      <c r="I82" s="27">
        <f>E82+F82+G82+H82</f>
        <v>157514.78732246379</v>
      </c>
    </row>
    <row r="84" spans="4:9" ht="31.5">
      <c r="D84" s="31" t="s">
        <v>107</v>
      </c>
      <c r="E84">
        <f>I82/I30</f>
        <v>88.12278178535594</v>
      </c>
      <c r="G84">
        <f>(I82-I80)/I30</f>
        <v>86.29</v>
      </c>
    </row>
    <row r="87" spans="4:9" ht="16.5" thickBot="1">
      <c r="D87" s="68" t="s">
        <v>108</v>
      </c>
      <c r="E87" s="68"/>
      <c r="F87" s="68"/>
      <c r="G87" s="68"/>
      <c r="H87" s="68"/>
      <c r="I87" s="68"/>
    </row>
    <row r="88" spans="4:9" ht="16.5" thickBot="1">
      <c r="D88" s="69" t="s">
        <v>69</v>
      </c>
      <c r="E88" s="71" t="s">
        <v>57</v>
      </c>
      <c r="F88" s="72"/>
      <c r="G88" s="72"/>
      <c r="H88" s="73"/>
      <c r="I88" s="69" t="s">
        <v>70</v>
      </c>
    </row>
    <row r="89" spans="4:9" ht="16.5" thickBot="1">
      <c r="D89" s="70"/>
      <c r="E89" s="27" t="s">
        <v>59</v>
      </c>
      <c r="F89" s="27" t="s">
        <v>60</v>
      </c>
      <c r="G89" s="27" t="s">
        <v>61</v>
      </c>
      <c r="H89" s="27" t="s">
        <v>62</v>
      </c>
      <c r="I89" s="70"/>
    </row>
    <row r="90" spans="4:9" ht="16.5" thickBot="1">
      <c r="D90" s="28" t="s">
        <v>109</v>
      </c>
      <c r="E90" s="30">
        <f>1.8/100*$E$84*E17</f>
        <v>745.5187339041114</v>
      </c>
      <c r="F90" s="30">
        <f>1.8/100*$E$84*F17</f>
        <v>697.93243174001918</v>
      </c>
      <c r="G90" s="30">
        <f t="shared" ref="G90:H90" si="28">1.8/100*$E$84*G17</f>
        <v>713.79453246138326</v>
      </c>
      <c r="H90" s="30">
        <f t="shared" si="28"/>
        <v>729.65663318274733</v>
      </c>
      <c r="I90" s="30">
        <f>E90+F90+G90+H90</f>
        <v>2886.9023312882609</v>
      </c>
    </row>
    <row r="91" spans="4:9" ht="32.25" thickBot="1">
      <c r="D91" s="28" t="s">
        <v>110</v>
      </c>
      <c r="E91" s="30">
        <f>B28+B33+B34/4+B24+B22/4</f>
        <v>8081.3</v>
      </c>
      <c r="F91" s="30">
        <f>E91</f>
        <v>8081.3</v>
      </c>
      <c r="G91" s="30">
        <f t="shared" ref="G91:H91" si="29">F91</f>
        <v>8081.3</v>
      </c>
      <c r="H91" s="30">
        <f t="shared" si="29"/>
        <v>8081.3</v>
      </c>
      <c r="I91" s="30">
        <f>E91*4</f>
        <v>32325.200000000001</v>
      </c>
    </row>
    <row r="92" spans="4:9" ht="16.5" thickBot="1">
      <c r="D92" s="28" t="s">
        <v>96</v>
      </c>
      <c r="E92" s="30">
        <f>E90+E91</f>
        <v>8826.8187339041124</v>
      </c>
      <c r="F92" s="30">
        <f t="shared" ref="F92:I92" si="30">F90+F91</f>
        <v>8779.2324317400198</v>
      </c>
      <c r="G92" s="30">
        <f t="shared" si="30"/>
        <v>8795.094532461384</v>
      </c>
      <c r="H92" s="30">
        <f t="shared" si="30"/>
        <v>8810.9566331827482</v>
      </c>
      <c r="I92" s="30">
        <f t="shared" si="30"/>
        <v>35212.102331288261</v>
      </c>
    </row>
    <row r="93" spans="4:9" ht="48" thickBot="1">
      <c r="D93" s="28" t="s">
        <v>111</v>
      </c>
      <c r="E93" s="30">
        <v>546</v>
      </c>
      <c r="F93" s="30">
        <f>E93</f>
        <v>546</v>
      </c>
      <c r="G93" s="30">
        <f t="shared" ref="G93:H93" si="31">F93</f>
        <v>546</v>
      </c>
      <c r="H93" s="30">
        <f t="shared" si="31"/>
        <v>546</v>
      </c>
      <c r="I93" s="30">
        <f>E93*4</f>
        <v>2184</v>
      </c>
    </row>
    <row r="94" spans="4:9" ht="63.75" thickBot="1">
      <c r="D94" s="28" t="s">
        <v>112</v>
      </c>
      <c r="E94" s="30">
        <f>E92-E93</f>
        <v>8280.8187339041124</v>
      </c>
      <c r="F94" s="30">
        <f t="shared" ref="F94:I94" si="32">F92-F93</f>
        <v>8233.2324317400198</v>
      </c>
      <c r="G94" s="30">
        <f t="shared" si="32"/>
        <v>8249.094532461384</v>
      </c>
      <c r="H94" s="30">
        <f t="shared" si="32"/>
        <v>8264.9566331827482</v>
      </c>
      <c r="I94" s="30">
        <f t="shared" si="32"/>
        <v>33028.102331288261</v>
      </c>
    </row>
    <row r="97" spans="4:9" ht="16.5" thickBot="1">
      <c r="D97" s="68" t="s">
        <v>113</v>
      </c>
      <c r="E97" s="68"/>
      <c r="F97" s="68"/>
      <c r="G97" s="68"/>
      <c r="H97" s="68"/>
      <c r="I97" s="68"/>
    </row>
    <row r="98" spans="4:9" ht="16.5" thickBot="1">
      <c r="D98" s="69" t="s">
        <v>69</v>
      </c>
      <c r="E98" s="71" t="s">
        <v>57</v>
      </c>
      <c r="F98" s="72"/>
      <c r="G98" s="72"/>
      <c r="H98" s="73"/>
      <c r="I98" s="69" t="s">
        <v>70</v>
      </c>
    </row>
    <row r="99" spans="4:9" ht="16.5" thickBot="1">
      <c r="D99" s="70"/>
      <c r="E99" s="27" t="s">
        <v>59</v>
      </c>
      <c r="F99" s="27" t="s">
        <v>60</v>
      </c>
      <c r="G99" s="27" t="s">
        <v>61</v>
      </c>
      <c r="H99" s="27" t="s">
        <v>62</v>
      </c>
      <c r="I99" s="70"/>
    </row>
    <row r="100" spans="4:9" ht="48" thickBot="1">
      <c r="D100" s="28" t="s">
        <v>114</v>
      </c>
      <c r="E100" s="32">
        <f>B5</f>
        <v>4500</v>
      </c>
      <c r="F100" s="27"/>
      <c r="G100" s="27"/>
      <c r="H100" s="27"/>
      <c r="I100" s="27"/>
    </row>
    <row r="101" spans="4:9" ht="31.5">
      <c r="D101" s="33" t="s">
        <v>115</v>
      </c>
      <c r="E101" s="69"/>
      <c r="F101" s="69"/>
      <c r="G101" s="69"/>
      <c r="H101" s="69"/>
      <c r="I101" s="69"/>
    </row>
    <row r="102" spans="4:9" ht="16.5" thickBot="1">
      <c r="D102" s="28" t="s">
        <v>116</v>
      </c>
      <c r="E102" s="70"/>
      <c r="F102" s="70"/>
      <c r="G102" s="70"/>
      <c r="H102" s="70"/>
      <c r="I102" s="70"/>
    </row>
    <row r="103" spans="4:9" ht="16.5" thickBot="1">
      <c r="D103" s="28" t="s">
        <v>117</v>
      </c>
      <c r="E103" s="27">
        <f>E19*B15/100</f>
        <v>44104.800000000003</v>
      </c>
      <c r="F103" s="27">
        <f>E19*B16/100</f>
        <v>19458</v>
      </c>
      <c r="G103" s="27"/>
      <c r="H103" s="27"/>
      <c r="I103" s="27"/>
    </row>
    <row r="104" spans="4:9" ht="16.5" thickBot="1">
      <c r="D104" s="28" t="s">
        <v>118</v>
      </c>
      <c r="E104" s="27"/>
      <c r="F104" s="27">
        <f>F19*B15/100</f>
        <v>41289.599999999999</v>
      </c>
      <c r="G104" s="27">
        <f>F19*B16/100</f>
        <v>18216</v>
      </c>
      <c r="H104" s="27"/>
      <c r="I104" s="27"/>
    </row>
    <row r="105" spans="4:9" ht="16.5" thickBot="1">
      <c r="D105" s="28" t="s">
        <v>119</v>
      </c>
      <c r="E105" s="27"/>
      <c r="F105" s="27"/>
      <c r="G105" s="27">
        <f>G19*B15/100</f>
        <v>42228</v>
      </c>
      <c r="H105" s="27">
        <f>G19*B16/100</f>
        <v>18630</v>
      </c>
      <c r="I105" s="27"/>
    </row>
    <row r="106" spans="4:9" ht="16.5" thickBot="1">
      <c r="D106" s="28" t="s">
        <v>120</v>
      </c>
      <c r="E106" s="27"/>
      <c r="F106" s="27"/>
      <c r="G106" s="27"/>
      <c r="H106" s="27">
        <f>H19*B15/100</f>
        <v>43166.400000000001</v>
      </c>
      <c r="I106" s="27"/>
    </row>
    <row r="107" spans="4:9" ht="48" thickBot="1">
      <c r="D107" s="28" t="s">
        <v>121</v>
      </c>
      <c r="E107" s="27"/>
      <c r="F107" s="27"/>
      <c r="G107" s="27"/>
      <c r="H107" s="27"/>
      <c r="I107" s="27"/>
    </row>
    <row r="108" spans="4:9" ht="32.25" thickBot="1">
      <c r="D108" s="28" t="s">
        <v>122</v>
      </c>
      <c r="E108" s="27"/>
      <c r="F108" s="27"/>
      <c r="G108" s="27"/>
      <c r="H108" s="27">
        <f>H19*B16/100</f>
        <v>19044</v>
      </c>
      <c r="I108" s="27"/>
    </row>
    <row r="111" spans="4:9" ht="16.5" thickBot="1">
      <c r="D111" s="68" t="s">
        <v>123</v>
      </c>
      <c r="E111" s="68"/>
      <c r="F111" s="68"/>
      <c r="G111" s="68"/>
      <c r="H111" s="68"/>
      <c r="I111" s="68"/>
    </row>
    <row r="112" spans="4:9" ht="16.5" thickBot="1">
      <c r="D112" s="69" t="s">
        <v>69</v>
      </c>
      <c r="E112" s="71" t="s">
        <v>57</v>
      </c>
      <c r="F112" s="72"/>
      <c r="G112" s="72"/>
      <c r="H112" s="73"/>
      <c r="I112" s="69" t="s">
        <v>70</v>
      </c>
    </row>
    <row r="113" spans="4:9" ht="16.5" thickBot="1">
      <c r="D113" s="70"/>
      <c r="E113" s="27" t="s">
        <v>59</v>
      </c>
      <c r="F113" s="27" t="s">
        <v>60</v>
      </c>
      <c r="G113" s="27" t="s">
        <v>61</v>
      </c>
      <c r="H113" s="27" t="s">
        <v>62</v>
      </c>
      <c r="I113" s="70"/>
    </row>
    <row r="114" spans="4:9" ht="16.5" thickBot="1">
      <c r="D114" s="28" t="s">
        <v>123</v>
      </c>
      <c r="E114" s="27">
        <f>2/100*E19</f>
        <v>1297.2</v>
      </c>
      <c r="F114" s="27">
        <f>2/100*F19</f>
        <v>1214.4000000000001</v>
      </c>
      <c r="G114" s="27">
        <f t="shared" ref="G114:H114" si="33">2/100*G19</f>
        <v>1242</v>
      </c>
      <c r="H114" s="27">
        <f t="shared" si="33"/>
        <v>1269.6000000000001</v>
      </c>
      <c r="I114" s="27">
        <f>E114+F114+G114+H114</f>
        <v>5023.2000000000007</v>
      </c>
    </row>
    <row r="117" spans="4:9" ht="16.5" thickBot="1">
      <c r="D117" s="68" t="s">
        <v>124</v>
      </c>
      <c r="E117" s="68"/>
      <c r="F117" s="68"/>
      <c r="G117" s="68"/>
      <c r="H117" s="68"/>
      <c r="I117" s="68"/>
    </row>
    <row r="118" spans="4:9" ht="16.5" thickBot="1">
      <c r="D118" s="69" t="s">
        <v>69</v>
      </c>
      <c r="E118" s="71" t="s">
        <v>57</v>
      </c>
      <c r="F118" s="72"/>
      <c r="G118" s="72"/>
      <c r="H118" s="73"/>
      <c r="I118" s="69" t="s">
        <v>70</v>
      </c>
    </row>
    <row r="119" spans="4:9" ht="16.5" thickBot="1">
      <c r="D119" s="70"/>
      <c r="E119" s="27" t="s">
        <v>59</v>
      </c>
      <c r="F119" s="27" t="s">
        <v>60</v>
      </c>
      <c r="G119" s="27" t="s">
        <v>61</v>
      </c>
      <c r="H119" s="27" t="s">
        <v>62</v>
      </c>
      <c r="I119" s="70"/>
    </row>
    <row r="120" spans="4:9" ht="48" thickBot="1">
      <c r="D120" s="28" t="s">
        <v>125</v>
      </c>
      <c r="E120" s="32">
        <f>B12</f>
        <v>4350</v>
      </c>
      <c r="F120" s="27"/>
      <c r="G120" s="27"/>
      <c r="H120" s="27"/>
      <c r="I120" s="32"/>
    </row>
    <row r="121" spans="4:9" ht="31.5">
      <c r="D121" s="33" t="s">
        <v>126</v>
      </c>
      <c r="E121" s="69"/>
      <c r="F121" s="69"/>
      <c r="G121" s="69"/>
      <c r="H121" s="69"/>
      <c r="I121" s="69"/>
    </row>
    <row r="122" spans="4:9" ht="16.5" thickBot="1">
      <c r="D122" s="28" t="s">
        <v>127</v>
      </c>
      <c r="E122" s="70"/>
      <c r="F122" s="70"/>
      <c r="G122" s="70"/>
      <c r="H122" s="70"/>
      <c r="I122" s="70"/>
    </row>
    <row r="123" spans="4:9" ht="16.5" thickBot="1">
      <c r="D123" s="28" t="s">
        <v>117</v>
      </c>
      <c r="E123" s="27">
        <f>B19/100*E45</f>
        <v>4934.0531346647085</v>
      </c>
      <c r="F123" s="27">
        <f>B20/100*E45</f>
        <v>1644.6843782215694</v>
      </c>
      <c r="G123" s="27"/>
      <c r="H123" s="27"/>
      <c r="I123" s="27"/>
    </row>
    <row r="124" spans="4:9" ht="16.5" thickBot="1">
      <c r="D124" s="28" t="s">
        <v>118</v>
      </c>
      <c r="E124" s="27"/>
      <c r="F124" s="27">
        <f>B19/100*F45</f>
        <v>4979.2500000000009</v>
      </c>
      <c r="G124" s="27">
        <f>B20/100*F45</f>
        <v>1659.7500000000002</v>
      </c>
      <c r="H124" s="27"/>
      <c r="I124" s="27"/>
    </row>
    <row r="125" spans="4:9" ht="16.5" thickBot="1">
      <c r="D125" s="28" t="s">
        <v>119</v>
      </c>
      <c r="E125" s="27"/>
      <c r="F125" s="27"/>
      <c r="G125" s="27">
        <f>B19/100*G45</f>
        <v>5091.75</v>
      </c>
      <c r="H125" s="27">
        <f>B20/100*G45</f>
        <v>1697.25</v>
      </c>
      <c r="I125" s="27"/>
    </row>
    <row r="126" spans="4:9" ht="16.5" thickBot="1">
      <c r="D126" s="28" t="s">
        <v>120</v>
      </c>
      <c r="E126" s="27"/>
      <c r="F126" s="27"/>
      <c r="G126" s="27"/>
      <c r="H126" s="27">
        <f>B19/100*H45</f>
        <v>5204.2500000000009</v>
      </c>
      <c r="I126" s="27"/>
    </row>
    <row r="127" spans="4:9" ht="48" thickBot="1">
      <c r="D127" s="28" t="s">
        <v>128</v>
      </c>
      <c r="E127" s="27"/>
      <c r="F127" s="27"/>
      <c r="G127" s="27"/>
      <c r="H127" s="27"/>
      <c r="I127" s="27"/>
    </row>
    <row r="128" spans="4:9" ht="32.25" thickBot="1">
      <c r="D128" s="28" t="s">
        <v>129</v>
      </c>
      <c r="E128" s="27"/>
      <c r="F128" s="27"/>
      <c r="G128" s="27"/>
      <c r="H128" s="27">
        <f>B20/100*H45</f>
        <v>1734.7500000000002</v>
      </c>
      <c r="I128" s="27"/>
    </row>
    <row r="131" spans="4:10" ht="16.5" thickBot="1">
      <c r="D131" s="81" t="s">
        <v>130</v>
      </c>
      <c r="E131" s="81"/>
      <c r="F131" s="81"/>
      <c r="G131" s="81"/>
      <c r="H131" s="81"/>
      <c r="I131" s="81"/>
    </row>
    <row r="132" spans="4:10" ht="16.5" thickBot="1">
      <c r="D132" s="76" t="s">
        <v>69</v>
      </c>
      <c r="E132" s="78" t="s">
        <v>57</v>
      </c>
      <c r="F132" s="79"/>
      <c r="G132" s="79"/>
      <c r="H132" s="80"/>
      <c r="I132" s="76" t="s">
        <v>70</v>
      </c>
    </row>
    <row r="133" spans="4:10" ht="16.5" thickBot="1">
      <c r="D133" s="77"/>
      <c r="E133" s="14" t="s">
        <v>59</v>
      </c>
      <c r="F133" s="14" t="s">
        <v>60</v>
      </c>
      <c r="G133" s="14" t="s">
        <v>61</v>
      </c>
      <c r="H133" s="14" t="s">
        <v>62</v>
      </c>
      <c r="I133" s="77"/>
    </row>
    <row r="134" spans="4:10" ht="32.25" thickBot="1">
      <c r="D134" s="15" t="s">
        <v>131</v>
      </c>
      <c r="E134" s="34">
        <f>B7</f>
        <v>3000</v>
      </c>
      <c r="F134" s="20">
        <f>E160</f>
        <v>5809.8443218536777</v>
      </c>
      <c r="G134" s="20">
        <f>F160</f>
        <v>14359.320511892096</v>
      </c>
      <c r="H134" s="20">
        <f>G160</f>
        <v>23224.182979430712</v>
      </c>
      <c r="I134" s="14"/>
    </row>
    <row r="135" spans="4:10" ht="16.5" thickBot="1">
      <c r="D135" s="15" t="s">
        <v>132</v>
      </c>
      <c r="E135" s="14"/>
      <c r="F135" s="14"/>
      <c r="G135" s="14"/>
      <c r="H135" s="14"/>
      <c r="I135" s="14"/>
    </row>
    <row r="136" spans="4:10" ht="32.25" thickBot="1">
      <c r="D136" s="15" t="s">
        <v>133</v>
      </c>
      <c r="E136" s="14">
        <f>E103</f>
        <v>44104.800000000003</v>
      </c>
      <c r="F136" s="14">
        <f>F103+F104</f>
        <v>60747.6</v>
      </c>
      <c r="G136" s="14">
        <f>G104+G105</f>
        <v>60444</v>
      </c>
      <c r="H136" s="14">
        <f>H105+H106</f>
        <v>61796.4</v>
      </c>
      <c r="I136" s="14">
        <f>E136+F136+G136+H136</f>
        <v>227092.8</v>
      </c>
    </row>
    <row r="137" spans="4:10" ht="48" thickBot="1">
      <c r="D137" s="15" t="s">
        <v>134</v>
      </c>
      <c r="E137" s="14">
        <f>E100</f>
        <v>4500</v>
      </c>
      <c r="F137" s="14"/>
      <c r="G137" s="14"/>
      <c r="H137" s="14"/>
      <c r="I137" s="14"/>
    </row>
    <row r="138" spans="4:10" ht="48" thickBot="1">
      <c r="D138" s="15" t="s">
        <v>154</v>
      </c>
      <c r="E138" s="14"/>
      <c r="F138" s="14"/>
      <c r="G138" s="14"/>
      <c r="H138" s="14"/>
      <c r="I138" s="14"/>
      <c r="J138" t="s">
        <v>152</v>
      </c>
    </row>
    <row r="139" spans="4:10" ht="32.25" thickBot="1">
      <c r="D139" s="35" t="s">
        <v>156</v>
      </c>
      <c r="E139" s="14">
        <f>5/100*$E$153/4</f>
        <v>33.07</v>
      </c>
      <c r="F139" s="14">
        <f t="shared" ref="F139" si="34">5/100*$E$153/4</f>
        <v>33.07</v>
      </c>
      <c r="G139" s="14">
        <f>5/100*$E$153/4</f>
        <v>33.07</v>
      </c>
      <c r="H139" s="14">
        <f>G139*0.6</f>
        <v>19.841999999999999</v>
      </c>
      <c r="I139" s="14"/>
    </row>
    <row r="140" spans="4:10" ht="32.25" thickBot="1">
      <c r="D140" s="15" t="s">
        <v>155</v>
      </c>
      <c r="E140" s="14"/>
      <c r="F140" s="14"/>
      <c r="G140" s="14">
        <f>E153*0.4*1.1</f>
        <v>1164.0640000000001</v>
      </c>
      <c r="H140" s="14"/>
      <c r="I140" s="14"/>
    </row>
    <row r="141" spans="4:10" ht="32.25" thickBot="1">
      <c r="D141" s="15" t="s">
        <v>135</v>
      </c>
      <c r="E141" s="14">
        <f>SUM(E134:E140)</f>
        <v>51637.87</v>
      </c>
      <c r="F141" s="14">
        <f t="shared" ref="F141:I141" si="35">SUM(F134:F140)</f>
        <v>66590.514321853683</v>
      </c>
      <c r="G141" s="14">
        <f t="shared" si="35"/>
        <v>76000.454511892094</v>
      </c>
      <c r="H141" s="14">
        <f t="shared" si="35"/>
        <v>85040.424979430711</v>
      </c>
      <c r="I141" s="14">
        <f t="shared" si="35"/>
        <v>227092.8</v>
      </c>
    </row>
    <row r="142" spans="4:10" ht="16.5" thickBot="1">
      <c r="D142" s="15" t="s">
        <v>136</v>
      </c>
      <c r="E142" s="14"/>
      <c r="F142" s="14"/>
      <c r="G142" s="14"/>
      <c r="H142" s="14"/>
      <c r="I142" s="14"/>
    </row>
    <row r="143" spans="4:10" ht="32.25" thickBot="1">
      <c r="D143" s="15" t="s">
        <v>137</v>
      </c>
      <c r="E143" s="14">
        <f>E123</f>
        <v>4934.0531346647085</v>
      </c>
      <c r="F143" s="14">
        <f>F123+F124</f>
        <v>6623.9343782215701</v>
      </c>
      <c r="G143" s="14">
        <f>G124+G125</f>
        <v>6751.5</v>
      </c>
      <c r="H143" s="14">
        <f>H125+H126</f>
        <v>6901.5000000000009</v>
      </c>
      <c r="I143" s="14">
        <f>E143+F143+G143+H143</f>
        <v>25210.987512886277</v>
      </c>
    </row>
    <row r="144" spans="4:10" ht="48" thickBot="1">
      <c r="D144" s="15" t="s">
        <v>138</v>
      </c>
      <c r="E144" s="14">
        <f>E120</f>
        <v>4350</v>
      </c>
      <c r="F144" s="14"/>
      <c r="G144" s="14"/>
      <c r="H144" s="14"/>
      <c r="I144" s="14"/>
    </row>
    <row r="145" spans="3:9" ht="32.25" thickBot="1">
      <c r="D145" s="15" t="s">
        <v>139</v>
      </c>
      <c r="E145" s="14"/>
      <c r="F145" s="14"/>
      <c r="G145" s="14"/>
      <c r="H145" s="14"/>
      <c r="I145" s="14"/>
    </row>
    <row r="146" spans="3:9" ht="32.25" thickBot="1">
      <c r="D146" s="15" t="s">
        <v>157</v>
      </c>
      <c r="E146" s="14">
        <f>B3</f>
        <v>5485</v>
      </c>
      <c r="F146" s="14"/>
      <c r="G146" s="14"/>
      <c r="H146" s="14"/>
      <c r="I146" s="14"/>
    </row>
    <row r="147" spans="3:9" ht="32.25" thickBot="1">
      <c r="D147" s="15" t="s">
        <v>158</v>
      </c>
      <c r="E147" s="14">
        <f>B9/4</f>
        <v>980</v>
      </c>
      <c r="F147" s="14">
        <f>E147</f>
        <v>980</v>
      </c>
      <c r="G147" s="14">
        <f t="shared" ref="G147:H147" si="36">F147</f>
        <v>980</v>
      </c>
      <c r="H147" s="14">
        <f t="shared" si="36"/>
        <v>980</v>
      </c>
      <c r="I147" s="14">
        <f>B9</f>
        <v>3920</v>
      </c>
    </row>
    <row r="148" spans="3:9" ht="30" customHeight="1" thickBot="1">
      <c r="C148">
        <v>25</v>
      </c>
      <c r="D148" s="15" t="s">
        <v>159</v>
      </c>
      <c r="E148" s="14">
        <f>(25/100*I147)/4</f>
        <v>245</v>
      </c>
      <c r="F148" s="14">
        <f>((I147-E147)*25/100)/4</f>
        <v>183.75</v>
      </c>
      <c r="G148" s="14">
        <f>((I147-E147-F147)*25/100)/4</f>
        <v>122.5</v>
      </c>
      <c r="H148" s="14">
        <f>((I147-E147-F147-G147)*25/100)/4</f>
        <v>61.25</v>
      </c>
      <c r="I148" s="14">
        <f>E148+F148+G148+H148</f>
        <v>612.5</v>
      </c>
    </row>
    <row r="149" spans="3:9" ht="32.25" thickBot="1">
      <c r="D149" s="15" t="s">
        <v>140</v>
      </c>
      <c r="E149" s="14">
        <f>E77</f>
        <v>20788.570699526463</v>
      </c>
      <c r="F149" s="14">
        <f>F77</f>
        <v>21160.334999999999</v>
      </c>
      <c r="G149" s="14">
        <f t="shared" ref="G149:I149" si="37">G77</f>
        <v>21639.834999999999</v>
      </c>
      <c r="H149" s="14">
        <f t="shared" si="37"/>
        <v>22119.334999999999</v>
      </c>
      <c r="I149" s="14">
        <f t="shared" si="37"/>
        <v>85708.075699526467</v>
      </c>
    </row>
    <row r="150" spans="3:9" ht="48" thickBot="1">
      <c r="D150" s="15" t="s">
        <v>141</v>
      </c>
      <c r="E150" s="14">
        <f>E70</f>
        <v>10118.983110051049</v>
      </c>
      <c r="F150" s="14">
        <f t="shared" ref="F150:I150" si="38">F70</f>
        <v>10299.941999999999</v>
      </c>
      <c r="G150" s="14">
        <f t="shared" si="38"/>
        <v>10533.341999999999</v>
      </c>
      <c r="H150" s="14">
        <f t="shared" si="38"/>
        <v>10766.741999999998</v>
      </c>
      <c r="I150" s="14">
        <f t="shared" si="38"/>
        <v>41719.009110051047</v>
      </c>
    </row>
    <row r="151" spans="3:9" ht="48" thickBot="1">
      <c r="D151" s="15" t="s">
        <v>142</v>
      </c>
      <c r="E151" s="20">
        <f>E94</f>
        <v>8280.8187339041124</v>
      </c>
      <c r="F151" s="20">
        <f t="shared" ref="F151:I151" si="39">F94</f>
        <v>8233.2324317400198</v>
      </c>
      <c r="G151" s="20">
        <f t="shared" si="39"/>
        <v>8249.094532461384</v>
      </c>
      <c r="H151" s="20">
        <f t="shared" si="39"/>
        <v>8264.9566331827482</v>
      </c>
      <c r="I151" s="20">
        <f t="shared" si="39"/>
        <v>33028.102331288261</v>
      </c>
    </row>
    <row r="152" spans="3:9" ht="32.25" thickBot="1">
      <c r="D152" s="15" t="s">
        <v>143</v>
      </c>
      <c r="E152" s="14"/>
      <c r="F152" s="14"/>
      <c r="G152" s="14"/>
      <c r="H152" s="14">
        <f>B37</f>
        <v>6000</v>
      </c>
      <c r="I152" s="14"/>
    </row>
    <row r="153" spans="3:9" ht="48" thickBot="1">
      <c r="D153" s="15" t="s">
        <v>153</v>
      </c>
      <c r="E153" s="14">
        <f>(E8+E9+E10+E11)*B35/100</f>
        <v>2645.6</v>
      </c>
      <c r="F153" s="14"/>
      <c r="G153" s="14"/>
      <c r="H153" s="14"/>
      <c r="I153" s="14"/>
    </row>
    <row r="154" spans="3:9" ht="32.25" thickBot="1">
      <c r="D154" s="15" t="s">
        <v>144</v>
      </c>
      <c r="E154" s="20">
        <f>SUM(E143:E153)</f>
        <v>57828.025678146325</v>
      </c>
      <c r="F154" s="20">
        <f t="shared" ref="F154:I154" si="40">SUM(F143:F153)</f>
        <v>47481.193809961587</v>
      </c>
      <c r="G154" s="20">
        <f t="shared" si="40"/>
        <v>48276.271532461382</v>
      </c>
      <c r="H154" s="20">
        <f t="shared" si="40"/>
        <v>55093.783633182742</v>
      </c>
      <c r="I154" s="20">
        <f t="shared" si="40"/>
        <v>190198.67465375207</v>
      </c>
    </row>
    <row r="155" spans="3:9" ht="32.25" thickBot="1">
      <c r="D155" s="15" t="s">
        <v>145</v>
      </c>
      <c r="E155" s="20">
        <f>E141-E154</f>
        <v>-6190.1556781463223</v>
      </c>
      <c r="F155" s="20">
        <f t="shared" ref="F155:I155" si="41">F141-F154</f>
        <v>19109.320511892096</v>
      </c>
      <c r="G155" s="20">
        <f t="shared" si="41"/>
        <v>27724.182979430712</v>
      </c>
      <c r="H155" s="20">
        <f t="shared" si="41"/>
        <v>29946.641346247969</v>
      </c>
      <c r="I155" s="20">
        <f t="shared" si="41"/>
        <v>36894.125346247922</v>
      </c>
    </row>
    <row r="156" spans="3:9" ht="15.75">
      <c r="D156" s="16" t="s">
        <v>146</v>
      </c>
      <c r="E156" s="84">
        <v>12000</v>
      </c>
      <c r="F156" s="84">
        <v>0</v>
      </c>
      <c r="G156" s="84">
        <v>0</v>
      </c>
      <c r="H156" s="84">
        <v>0</v>
      </c>
      <c r="I156" s="76"/>
    </row>
    <row r="157" spans="3:9" ht="16.5" thickBot="1">
      <c r="D157" s="15" t="s">
        <v>147</v>
      </c>
      <c r="E157" s="77"/>
      <c r="F157" s="77"/>
      <c r="G157" s="77"/>
      <c r="H157" s="77"/>
      <c r="I157" s="77"/>
    </row>
    <row r="158" spans="3:9" ht="28.5" customHeight="1" thickBot="1">
      <c r="D158" s="15" t="s">
        <v>148</v>
      </c>
      <c r="E158" s="14">
        <v>0</v>
      </c>
      <c r="F158" s="14">
        <v>4000</v>
      </c>
      <c r="G158" s="14">
        <v>4000</v>
      </c>
      <c r="H158" s="14">
        <v>4000</v>
      </c>
      <c r="I158" s="14"/>
    </row>
    <row r="159" spans="3:9" ht="32.25" thickBot="1">
      <c r="D159" s="15" t="s">
        <v>149</v>
      </c>
      <c r="E159" s="14">
        <v>0</v>
      </c>
      <c r="F159" s="14">
        <f>E156*C148/100/4</f>
        <v>750</v>
      </c>
      <c r="G159" s="14">
        <f>(E156-F158)*C148/100/4</f>
        <v>500</v>
      </c>
      <c r="H159" s="14">
        <f>(E156-F158-G158)*C148/100/4</f>
        <v>250</v>
      </c>
      <c r="I159" s="14"/>
    </row>
    <row r="160" spans="3:9" ht="48" thickBot="1">
      <c r="D160" s="15" t="s">
        <v>150</v>
      </c>
      <c r="E160" s="20">
        <f>E155+E156-E158-E159</f>
        <v>5809.8443218536777</v>
      </c>
      <c r="F160" s="20">
        <f>F155+F156-F158-F159</f>
        <v>14359.320511892096</v>
      </c>
      <c r="G160" s="20">
        <f t="shared" ref="G160:I160" si="42">G155+G156-G158-G159</f>
        <v>23224.182979430712</v>
      </c>
      <c r="H160" s="37">
        <f t="shared" si="42"/>
        <v>25696.641346247969</v>
      </c>
      <c r="I160" s="20">
        <f t="shared" si="42"/>
        <v>36894.125346247922</v>
      </c>
    </row>
    <row r="161" spans="3:15" ht="48" thickBot="1">
      <c r="D161" s="15" t="s">
        <v>151</v>
      </c>
      <c r="E161" s="14">
        <f>B32</f>
        <v>3000</v>
      </c>
      <c r="F161" s="14">
        <f>E161</f>
        <v>3000</v>
      </c>
      <c r="G161" s="14">
        <f t="shared" ref="G161:H161" si="43">F161</f>
        <v>3000</v>
      </c>
      <c r="H161" s="14">
        <f t="shared" si="43"/>
        <v>3000</v>
      </c>
      <c r="I161" s="14">
        <f>E161+F161+G161+H161</f>
        <v>12000</v>
      </c>
    </row>
    <row r="164" spans="3:15" ht="31.5">
      <c r="N164" s="9" t="s">
        <v>8</v>
      </c>
      <c r="O164" s="10">
        <v>8250</v>
      </c>
    </row>
    <row r="165" spans="3:15" ht="109.15" customHeight="1">
      <c r="N165" s="5" t="s">
        <v>42</v>
      </c>
      <c r="O165" s="8">
        <v>88.09098901098902</v>
      </c>
    </row>
    <row r="166" spans="3:15" ht="78.599999999999994" customHeight="1" thickBot="1">
      <c r="C166" s="87" t="s">
        <v>162</v>
      </c>
      <c r="D166" s="88"/>
      <c r="E166" s="88"/>
      <c r="F166" s="88"/>
      <c r="G166" s="88"/>
      <c r="N166" s="15" t="s">
        <v>63</v>
      </c>
      <c r="O166">
        <v>1820</v>
      </c>
    </row>
    <row r="167" spans="3:15" ht="16.5" thickBot="1">
      <c r="D167" s="38" t="s">
        <v>163</v>
      </c>
      <c r="N167" t="s">
        <v>160</v>
      </c>
    </row>
    <row r="168" spans="3:15" ht="16.5" thickBot="1">
      <c r="D168" s="39" t="s">
        <v>164</v>
      </c>
      <c r="E168" s="40"/>
      <c r="F168" s="41"/>
      <c r="N168" t="s">
        <v>161</v>
      </c>
    </row>
    <row r="169" spans="3:15" ht="16.5" thickBot="1">
      <c r="D169" s="38" t="s">
        <v>165</v>
      </c>
    </row>
    <row r="170" spans="3:15" ht="48" thickBot="1">
      <c r="D170" s="42" t="s">
        <v>166</v>
      </c>
      <c r="E170" s="41" t="s">
        <v>167</v>
      </c>
      <c r="F170" s="41" t="s">
        <v>168</v>
      </c>
      <c r="G170" s="41" t="s">
        <v>169</v>
      </c>
    </row>
    <row r="171" spans="3:15" ht="16.5" thickBot="1">
      <c r="D171" s="43">
        <v>1</v>
      </c>
      <c r="E171" s="44">
        <v>2</v>
      </c>
      <c r="F171" s="44">
        <v>3</v>
      </c>
      <c r="G171" s="44">
        <v>4</v>
      </c>
    </row>
    <row r="172" spans="3:15" ht="48" thickBot="1">
      <c r="D172" s="45" t="s">
        <v>170</v>
      </c>
      <c r="E172" s="44">
        <v>2000</v>
      </c>
      <c r="F172" s="44">
        <f>I19</f>
        <v>251160</v>
      </c>
      <c r="G172" s="44"/>
    </row>
    <row r="173" spans="3:15" ht="48" thickBot="1">
      <c r="D173" s="45" t="s">
        <v>171</v>
      </c>
      <c r="E173" s="44">
        <v>2050</v>
      </c>
      <c r="F173" s="22">
        <f>(B10+(I17-B10/B44)*E84)*-1</f>
        <v>-160380.48535537857</v>
      </c>
      <c r="G173" s="44" t="s">
        <v>172</v>
      </c>
    </row>
    <row r="174" spans="3:15" ht="15.75">
      <c r="D174" s="46" t="s">
        <v>173</v>
      </c>
      <c r="E174" s="48"/>
      <c r="F174" s="89">
        <f>F172+F173</f>
        <v>90779.514644621435</v>
      </c>
      <c r="G174" s="91"/>
    </row>
    <row r="175" spans="3:15" ht="16.5" thickBot="1">
      <c r="D175" s="47" t="s">
        <v>174</v>
      </c>
      <c r="E175" s="40">
        <v>2090</v>
      </c>
      <c r="F175" s="90"/>
      <c r="G175" s="90"/>
    </row>
    <row r="176" spans="3:15" ht="16.5" thickBot="1">
      <c r="D176" s="49" t="s">
        <v>175</v>
      </c>
      <c r="E176" s="41">
        <v>2095</v>
      </c>
      <c r="F176" s="41" t="s">
        <v>172</v>
      </c>
      <c r="G176" s="41" t="s">
        <v>172</v>
      </c>
    </row>
    <row r="177" spans="4:7" ht="16.5" thickBot="1">
      <c r="D177" s="45" t="s">
        <v>176</v>
      </c>
      <c r="E177" s="44">
        <v>2120</v>
      </c>
      <c r="F177" s="44"/>
      <c r="G177" s="44"/>
    </row>
    <row r="178" spans="4:7" ht="16.5" thickBot="1">
      <c r="D178" s="45" t="s">
        <v>177</v>
      </c>
      <c r="E178" s="44">
        <v>2130</v>
      </c>
      <c r="F178" s="44">
        <f>I91*-1</f>
        <v>-32325.200000000001</v>
      </c>
      <c r="G178" s="44" t="s">
        <v>172</v>
      </c>
    </row>
    <row r="179" spans="4:7" ht="16.5" thickBot="1">
      <c r="D179" s="45" t="s">
        <v>178</v>
      </c>
      <c r="E179" s="44">
        <v>2150</v>
      </c>
      <c r="F179" s="44">
        <f>I90*-1</f>
        <v>-2886.9023312882609</v>
      </c>
      <c r="G179" s="44" t="s">
        <v>172</v>
      </c>
    </row>
    <row r="180" spans="4:7" ht="32.25" thickBot="1">
      <c r="D180" s="45" t="s">
        <v>179</v>
      </c>
      <c r="E180" s="44">
        <v>2180</v>
      </c>
      <c r="F180" s="44">
        <f>I114*-1</f>
        <v>-5023.2000000000007</v>
      </c>
      <c r="G180" s="44" t="s">
        <v>172</v>
      </c>
    </row>
    <row r="181" spans="4:7" ht="47.25">
      <c r="D181" s="46" t="s">
        <v>180</v>
      </c>
      <c r="E181" s="48"/>
      <c r="F181" s="89">
        <f>F174+F178+F179+F180</f>
        <v>50544.212313333177</v>
      </c>
      <c r="G181" s="91"/>
    </row>
    <row r="182" spans="4:7" ht="16.5" thickBot="1">
      <c r="D182" s="47" t="s">
        <v>174</v>
      </c>
      <c r="E182" s="40">
        <v>2190</v>
      </c>
      <c r="F182" s="90"/>
      <c r="G182" s="90"/>
    </row>
    <row r="183" spans="4:7" ht="16.5" thickBot="1">
      <c r="D183" s="49" t="s">
        <v>175</v>
      </c>
      <c r="E183" s="41">
        <v>2195</v>
      </c>
      <c r="F183" s="41" t="s">
        <v>172</v>
      </c>
      <c r="G183" s="41" t="s">
        <v>172</v>
      </c>
    </row>
    <row r="184" spans="4:7" ht="48" thickBot="1">
      <c r="D184" s="45" t="s">
        <v>181</v>
      </c>
      <c r="E184" s="44">
        <v>2200</v>
      </c>
      <c r="F184" s="44"/>
      <c r="G184" s="44"/>
    </row>
    <row r="185" spans="4:7" ht="16.5" thickBot="1">
      <c r="D185" s="45" t="s">
        <v>182</v>
      </c>
      <c r="E185" s="44">
        <v>2220</v>
      </c>
      <c r="F185" s="44">
        <f>E139+F139+G139+H139</f>
        <v>119.05200000000001</v>
      </c>
      <c r="G185" s="44"/>
    </row>
    <row r="186" spans="4:7" ht="16.5" thickBot="1">
      <c r="D186" s="45" t="s">
        <v>183</v>
      </c>
      <c r="E186" s="44">
        <v>2240</v>
      </c>
      <c r="F186" s="44">
        <f>G140</f>
        <v>1164.0640000000001</v>
      </c>
      <c r="G186" s="44"/>
    </row>
    <row r="187" spans="4:7" ht="16.5" thickBot="1">
      <c r="D187" s="45" t="s">
        <v>184</v>
      </c>
      <c r="E187" s="44">
        <v>2250</v>
      </c>
      <c r="F187" s="44">
        <f>(I148+F159+G159+H159)*-1</f>
        <v>-2112.5</v>
      </c>
      <c r="G187" s="44" t="s">
        <v>172</v>
      </c>
    </row>
    <row r="188" spans="4:7" ht="32.25" thickBot="1">
      <c r="D188" s="45" t="s">
        <v>185</v>
      </c>
      <c r="E188" s="44">
        <v>2255</v>
      </c>
      <c r="F188" s="44" t="s">
        <v>172</v>
      </c>
      <c r="G188" s="44" t="s">
        <v>172</v>
      </c>
    </row>
    <row r="189" spans="4:7" ht="16.5" thickBot="1">
      <c r="D189" s="45" t="s">
        <v>186</v>
      </c>
      <c r="E189" s="44">
        <v>2270</v>
      </c>
      <c r="F189" s="44">
        <f>E153*0.4*-1</f>
        <v>-1058.24</v>
      </c>
      <c r="G189" s="44" t="s">
        <v>172</v>
      </c>
    </row>
    <row r="190" spans="4:7" ht="31.5">
      <c r="D190" s="50" t="s">
        <v>187</v>
      </c>
      <c r="E190" s="48"/>
      <c r="F190" s="89">
        <f>F181+F185+F186+F187+F189</f>
        <v>48656.588313333181</v>
      </c>
      <c r="G190" s="91"/>
    </row>
    <row r="191" spans="4:7" ht="16.5" thickBot="1">
      <c r="D191" s="47" t="s">
        <v>174</v>
      </c>
      <c r="E191" s="40">
        <v>2290</v>
      </c>
      <c r="F191" s="90"/>
      <c r="G191" s="90"/>
    </row>
    <row r="192" spans="4:7" ht="16.5" thickBot="1">
      <c r="D192" s="49" t="s">
        <v>175</v>
      </c>
      <c r="E192" s="41">
        <v>2295</v>
      </c>
      <c r="F192" s="41" t="s">
        <v>172</v>
      </c>
      <c r="G192" s="41" t="s">
        <v>172</v>
      </c>
    </row>
    <row r="193" spans="4:7" ht="32.25" thickBot="1">
      <c r="D193" s="45" t="s">
        <v>188</v>
      </c>
      <c r="E193" s="44">
        <v>2300</v>
      </c>
      <c r="F193" s="44"/>
      <c r="G193" s="44"/>
    </row>
    <row r="194" spans="4:7" ht="48" thickBot="1">
      <c r="D194" s="45" t="s">
        <v>189</v>
      </c>
      <c r="E194" s="44">
        <v>2305</v>
      </c>
      <c r="F194" s="44">
        <f>F190*0.25</f>
        <v>12164.147078333295</v>
      </c>
      <c r="G194" s="44"/>
    </row>
    <row r="195" spans="4:7" ht="15.75">
      <c r="D195" s="46" t="s">
        <v>190</v>
      </c>
      <c r="E195" s="48"/>
      <c r="F195" s="89">
        <f>F190-F194</f>
        <v>36492.441234999889</v>
      </c>
      <c r="G195" s="91"/>
    </row>
    <row r="196" spans="4:7" ht="16.5" thickBot="1">
      <c r="D196" s="47" t="s">
        <v>228</v>
      </c>
      <c r="E196" s="40">
        <v>2350</v>
      </c>
      <c r="F196" s="90"/>
      <c r="G196" s="90"/>
    </row>
    <row r="197" spans="4:7" ht="16.5" thickBot="1">
      <c r="D197" s="49" t="s">
        <v>175</v>
      </c>
      <c r="E197" s="41">
        <v>2355</v>
      </c>
      <c r="F197" s="41" t="s">
        <v>172</v>
      </c>
      <c r="G197" s="41" t="s">
        <v>172</v>
      </c>
    </row>
    <row r="198" spans="4:7" ht="16.5" thickBot="1">
      <c r="D198" s="38" t="s">
        <v>191</v>
      </c>
    </row>
    <row r="199" spans="4:7" ht="48" thickBot="1">
      <c r="D199" s="42" t="s">
        <v>166</v>
      </c>
      <c r="E199" s="41" t="s">
        <v>167</v>
      </c>
      <c r="F199" s="41" t="s">
        <v>168</v>
      </c>
      <c r="G199" s="41" t="s">
        <v>169</v>
      </c>
    </row>
    <row r="200" spans="4:7" ht="16.5" thickBot="1">
      <c r="D200" s="43">
        <v>1</v>
      </c>
      <c r="E200" s="44">
        <v>2</v>
      </c>
      <c r="F200" s="44">
        <v>3</v>
      </c>
      <c r="G200" s="44">
        <v>4</v>
      </c>
    </row>
    <row r="201" spans="4:7" ht="46.15" customHeight="1" thickBot="1">
      <c r="D201" s="45" t="s">
        <v>192</v>
      </c>
      <c r="E201" s="44">
        <v>2400</v>
      </c>
      <c r="F201" s="44"/>
      <c r="G201" s="44"/>
    </row>
    <row r="202" spans="4:7" ht="32.25" thickBot="1">
      <c r="D202" s="45" t="s">
        <v>193</v>
      </c>
      <c r="E202" s="44">
        <v>2405</v>
      </c>
      <c r="F202" s="44"/>
      <c r="G202" s="44"/>
    </row>
    <row r="203" spans="4:7" ht="32.25" thickBot="1">
      <c r="D203" s="45" t="s">
        <v>194</v>
      </c>
      <c r="E203" s="44">
        <v>2410</v>
      </c>
      <c r="F203" s="44"/>
      <c r="G203" s="44"/>
    </row>
    <row r="204" spans="4:7" ht="63.75" thickBot="1">
      <c r="D204" s="45" t="s">
        <v>195</v>
      </c>
      <c r="E204" s="44">
        <v>2415</v>
      </c>
      <c r="F204" s="44"/>
      <c r="G204" s="44"/>
    </row>
    <row r="205" spans="4:7" ht="32.25" thickBot="1">
      <c r="D205" s="45" t="s">
        <v>196</v>
      </c>
      <c r="E205" s="44">
        <v>2445</v>
      </c>
      <c r="F205" s="44"/>
      <c r="G205" s="44"/>
    </row>
    <row r="206" spans="4:7" ht="48" thickBot="1">
      <c r="D206" s="51" t="s">
        <v>197</v>
      </c>
      <c r="E206" s="52">
        <v>2450</v>
      </c>
      <c r="F206" s="44"/>
      <c r="G206" s="44"/>
    </row>
    <row r="207" spans="4:7" ht="48" thickBot="1">
      <c r="D207" s="45" t="s">
        <v>198</v>
      </c>
      <c r="E207" s="44">
        <v>2455</v>
      </c>
      <c r="F207" s="44"/>
      <c r="G207" s="44"/>
    </row>
    <row r="208" spans="4:7" ht="32.25" thickBot="1">
      <c r="D208" s="51" t="s">
        <v>199</v>
      </c>
      <c r="E208" s="52">
        <v>2460</v>
      </c>
      <c r="F208" s="44"/>
      <c r="G208" s="44"/>
    </row>
    <row r="209" spans="4:7" ht="63.75" thickBot="1">
      <c r="D209" s="51" t="s">
        <v>200</v>
      </c>
      <c r="E209" s="52">
        <v>2465</v>
      </c>
      <c r="F209" s="44"/>
      <c r="G209" s="44"/>
    </row>
    <row r="210" spans="4:7" ht="15.75">
      <c r="D210" s="38"/>
    </row>
    <row r="211" spans="4:7">
      <c r="D211" s="54"/>
    </row>
    <row r="212" spans="4:7" ht="15.75">
      <c r="D212" s="55" t="s">
        <v>201</v>
      </c>
    </row>
    <row r="213" spans="4:7" ht="16.5" thickBot="1">
      <c r="D213" s="53" t="s">
        <v>202</v>
      </c>
    </row>
    <row r="214" spans="4:7" ht="32.25" thickBot="1">
      <c r="D214" s="56" t="s">
        <v>203</v>
      </c>
      <c r="E214" s="36" t="s">
        <v>204</v>
      </c>
      <c r="F214" s="57" t="s">
        <v>205</v>
      </c>
      <c r="G214" s="36" t="s">
        <v>204</v>
      </c>
    </row>
    <row r="215" spans="4:7" ht="16.5" thickBot="1">
      <c r="D215" s="28" t="s">
        <v>206</v>
      </c>
      <c r="E215" s="29"/>
      <c r="F215" s="29" t="s">
        <v>207</v>
      </c>
      <c r="G215" s="29"/>
    </row>
    <row r="216" spans="4:7" ht="16.5" thickBot="1">
      <c r="D216" s="28" t="s">
        <v>208</v>
      </c>
      <c r="E216" s="29">
        <f>B11</f>
        <v>17920</v>
      </c>
      <c r="F216" s="29" t="s">
        <v>209</v>
      </c>
      <c r="G216" s="29">
        <f>B4</f>
        <v>24000</v>
      </c>
    </row>
    <row r="217" spans="4:7" ht="30.6" customHeight="1">
      <c r="D217" s="85" t="s">
        <v>210</v>
      </c>
      <c r="E217" s="85">
        <f>B14+B37</f>
        <v>34600</v>
      </c>
      <c r="F217" s="85" t="s">
        <v>211</v>
      </c>
      <c r="G217" s="64">
        <f>B8+F195</f>
        <v>51692.441234999889</v>
      </c>
    </row>
    <row r="218" spans="4:7" ht="16.5" thickBot="1">
      <c r="D218" s="86"/>
      <c r="E218" s="86"/>
      <c r="F218" s="86"/>
      <c r="G218" s="59"/>
    </row>
    <row r="219" spans="4:7" ht="16.5" thickBot="1">
      <c r="D219" s="28" t="s">
        <v>212</v>
      </c>
      <c r="E219" s="29">
        <f>(B13+B27*4+B28*4)*-1</f>
        <v>-15563</v>
      </c>
      <c r="F219" s="29"/>
      <c r="G219" s="29"/>
    </row>
    <row r="220" spans="4:7" ht="32.25" thickBot="1">
      <c r="D220" s="60" t="s">
        <v>213</v>
      </c>
      <c r="E220" s="29">
        <f>E216+E217+E219</f>
        <v>36957</v>
      </c>
      <c r="F220" s="61" t="s">
        <v>214</v>
      </c>
      <c r="G220" s="63">
        <f>G216+G217</f>
        <v>75692.441234999889</v>
      </c>
    </row>
    <row r="221" spans="4:7" ht="32.25" thickBot="1">
      <c r="D221" s="28" t="s">
        <v>215</v>
      </c>
      <c r="E221" s="29"/>
      <c r="F221" s="29" t="s">
        <v>216</v>
      </c>
      <c r="G221" s="29"/>
    </row>
    <row r="222" spans="4:7" ht="15.75">
      <c r="D222" s="85" t="s">
        <v>217</v>
      </c>
      <c r="E222" s="58"/>
      <c r="F222" s="85" t="s">
        <v>218</v>
      </c>
      <c r="G222" s="85">
        <f>H128</f>
        <v>1734.7500000000002</v>
      </c>
    </row>
    <row r="223" spans="4:7" ht="16.5" thickBot="1">
      <c r="D223" s="86"/>
      <c r="E223" s="29">
        <f>H27*E84</f>
        <v>5384.3019670852482</v>
      </c>
      <c r="F223" s="86"/>
      <c r="G223" s="86"/>
    </row>
    <row r="224" spans="4:7" ht="48" thickBot="1">
      <c r="D224" s="28" t="s">
        <v>219</v>
      </c>
      <c r="E224" s="29">
        <f>H40*H44</f>
        <v>919.03499999999997</v>
      </c>
      <c r="F224" s="29" t="s">
        <v>220</v>
      </c>
      <c r="G224" s="29">
        <f>F194</f>
        <v>12164.147078333295</v>
      </c>
    </row>
    <row r="225" spans="4:7" ht="32.25" thickBot="1">
      <c r="D225" s="28" t="s">
        <v>221</v>
      </c>
      <c r="E225" s="29">
        <f>H108</f>
        <v>19044</v>
      </c>
      <c r="F225" s="29" t="s">
        <v>222</v>
      </c>
      <c r="G225" s="29">
        <v>0</v>
      </c>
    </row>
    <row r="226" spans="4:7" ht="32.25" thickBot="1">
      <c r="D226" s="28" t="s">
        <v>223</v>
      </c>
      <c r="E226" s="29">
        <f>E153*0.6</f>
        <v>1587.36</v>
      </c>
      <c r="F226" s="29"/>
      <c r="G226" s="29"/>
    </row>
    <row r="227" spans="4:7" ht="32.25" thickBot="1">
      <c r="D227" s="28" t="s">
        <v>224</v>
      </c>
      <c r="E227" s="63">
        <f>H160</f>
        <v>25696.641346247969</v>
      </c>
      <c r="F227" s="29"/>
      <c r="G227" s="29"/>
    </row>
    <row r="228" spans="4:7" ht="32.25" thickBot="1">
      <c r="D228" s="60" t="s">
        <v>225</v>
      </c>
      <c r="E228" s="29">
        <f>SUM(E223:E227)</f>
        <v>52631.338313333217</v>
      </c>
      <c r="F228" s="61" t="s">
        <v>226</v>
      </c>
      <c r="G228" s="29">
        <f>G222+G224</f>
        <v>13898.897078333295</v>
      </c>
    </row>
    <row r="229" spans="4:7" ht="32.25" thickBot="1">
      <c r="D229" s="60" t="s">
        <v>227</v>
      </c>
      <c r="E229" s="29">
        <f>E228+E220</f>
        <v>89588.338313333225</v>
      </c>
      <c r="F229" s="61" t="s">
        <v>227</v>
      </c>
      <c r="G229" s="63">
        <f>G228+G220</f>
        <v>89591.338313333181</v>
      </c>
    </row>
    <row r="230" spans="4:7" ht="15.75">
      <c r="D230" s="62"/>
      <c r="F230" s="22"/>
    </row>
    <row r="233" spans="4:7" ht="16.5" thickBot="1">
      <c r="D233" s="66" t="s">
        <v>230</v>
      </c>
    </row>
    <row r="234" spans="4:7" ht="32.25" thickBot="1">
      <c r="D234" s="67" t="s">
        <v>69</v>
      </c>
      <c r="E234" s="65" t="s">
        <v>231</v>
      </c>
    </row>
    <row r="235" spans="4:7" ht="16.5" thickBot="1">
      <c r="D235" s="15" t="s">
        <v>232</v>
      </c>
      <c r="E235" s="14">
        <f>I19</f>
        <v>251160</v>
      </c>
    </row>
    <row r="236" spans="4:7" ht="16.5" thickBot="1">
      <c r="D236" s="15" t="s">
        <v>233</v>
      </c>
      <c r="E236" s="14"/>
    </row>
    <row r="237" spans="4:7" ht="111" thickBot="1">
      <c r="D237" s="15" t="s">
        <v>234</v>
      </c>
      <c r="E237" s="14" t="s">
        <v>245</v>
      </c>
      <c r="F237">
        <f>G84*I26</f>
        <v>157047.80000000002</v>
      </c>
    </row>
    <row r="238" spans="4:7" ht="32.25" thickBot="1">
      <c r="D238" s="15" t="s">
        <v>235</v>
      </c>
      <c r="E238" s="20">
        <f>I90</f>
        <v>2886.9023312882609</v>
      </c>
    </row>
    <row r="239" spans="4:7" ht="16.5" thickBot="1">
      <c r="D239" s="15" t="s">
        <v>236</v>
      </c>
      <c r="E239" s="14">
        <f>I114</f>
        <v>5023.2000000000007</v>
      </c>
    </row>
    <row r="240" spans="4:7" ht="16.5" thickBot="1">
      <c r="D240" s="15" t="s">
        <v>237</v>
      </c>
      <c r="E240" s="20">
        <f>F237+E238+E239</f>
        <v>164957.90233128829</v>
      </c>
    </row>
    <row r="241" spans="4:5" ht="32.25" thickBot="1">
      <c r="D241" s="15" t="s">
        <v>238</v>
      </c>
      <c r="E241" s="20">
        <f>E235-E240</f>
        <v>86202.097668711707</v>
      </c>
    </row>
    <row r="242" spans="4:5" ht="16.5" thickBot="1">
      <c r="D242" s="15" t="s">
        <v>239</v>
      </c>
      <c r="E242" s="14"/>
    </row>
    <row r="243" spans="4:5" ht="16.5" thickBot="1">
      <c r="D243" s="15" t="s">
        <v>240</v>
      </c>
      <c r="E243" s="14">
        <f>I69</f>
        <v>3276</v>
      </c>
    </row>
    <row r="244" spans="4:5" ht="32.25" thickBot="1">
      <c r="D244" s="15" t="s">
        <v>241</v>
      </c>
      <c r="E244" s="14">
        <v>0</v>
      </c>
    </row>
    <row r="245" spans="4:5" ht="32.25" thickBot="1">
      <c r="D245" s="15" t="s">
        <v>242</v>
      </c>
      <c r="E245" s="20">
        <f>I91</f>
        <v>32325.200000000001</v>
      </c>
    </row>
    <row r="246" spans="4:5" ht="16.5" thickBot="1">
      <c r="D246" s="15" t="s">
        <v>243</v>
      </c>
      <c r="E246" s="20">
        <f>E243+E244+E245</f>
        <v>35601.199999999997</v>
      </c>
    </row>
    <row r="247" spans="4:5" ht="32.25" thickBot="1">
      <c r="D247" s="15" t="s">
        <v>244</v>
      </c>
      <c r="E247" s="20">
        <f>E241-E246</f>
        <v>50600.89766871171</v>
      </c>
    </row>
  </sheetData>
  <mergeCells count="83">
    <mergeCell ref="G222:G223"/>
    <mergeCell ref="C166:G166"/>
    <mergeCell ref="F174:F175"/>
    <mergeCell ref="G174:G175"/>
    <mergeCell ref="F181:F182"/>
    <mergeCell ref="G181:G182"/>
    <mergeCell ref="F190:F191"/>
    <mergeCell ref="G190:G191"/>
    <mergeCell ref="F195:F196"/>
    <mergeCell ref="G195:G196"/>
    <mergeCell ref="D217:D218"/>
    <mergeCell ref="E217:E218"/>
    <mergeCell ref="F217:F218"/>
    <mergeCell ref="D222:D223"/>
    <mergeCell ref="F222:F223"/>
    <mergeCell ref="D131:I131"/>
    <mergeCell ref="D132:D133"/>
    <mergeCell ref="E132:H132"/>
    <mergeCell ref="I132:I133"/>
    <mergeCell ref="E156:E157"/>
    <mergeCell ref="F156:F157"/>
    <mergeCell ref="G156:G157"/>
    <mergeCell ref="H156:H157"/>
    <mergeCell ref="I156:I157"/>
    <mergeCell ref="E121:E122"/>
    <mergeCell ref="F121:F122"/>
    <mergeCell ref="G121:G122"/>
    <mergeCell ref="H121:H122"/>
    <mergeCell ref="I121:I122"/>
    <mergeCell ref="D112:D113"/>
    <mergeCell ref="E112:H112"/>
    <mergeCell ref="I112:I113"/>
    <mergeCell ref="D111:I111"/>
    <mergeCell ref="D118:D119"/>
    <mergeCell ref="E118:H118"/>
    <mergeCell ref="I118:I119"/>
    <mergeCell ref="D117:I117"/>
    <mergeCell ref="E101:E102"/>
    <mergeCell ref="F101:F102"/>
    <mergeCell ref="G101:G102"/>
    <mergeCell ref="H101:H102"/>
    <mergeCell ref="I101:I102"/>
    <mergeCell ref="D88:D89"/>
    <mergeCell ref="E88:H88"/>
    <mergeCell ref="I88:I89"/>
    <mergeCell ref="D87:I87"/>
    <mergeCell ref="D98:D99"/>
    <mergeCell ref="E98:H98"/>
    <mergeCell ref="I98:I99"/>
    <mergeCell ref="D97:I97"/>
    <mergeCell ref="D35:D36"/>
    <mergeCell ref="E35:H35"/>
    <mergeCell ref="I35:I36"/>
    <mergeCell ref="J35:K35"/>
    <mergeCell ref="C34:K34"/>
    <mergeCell ref="D24:D25"/>
    <mergeCell ref="E24:H24"/>
    <mergeCell ref="I24:I25"/>
    <mergeCell ref="J24:K24"/>
    <mergeCell ref="D23:K23"/>
    <mergeCell ref="K19:K20"/>
    <mergeCell ref="D15:D16"/>
    <mergeCell ref="E15:H15"/>
    <mergeCell ref="I15:I16"/>
    <mergeCell ref="J15:K15"/>
    <mergeCell ref="F19:F20"/>
    <mergeCell ref="G19:G20"/>
    <mergeCell ref="H19:H20"/>
    <mergeCell ref="I19:I20"/>
    <mergeCell ref="J19:J20"/>
    <mergeCell ref="E19:E20"/>
    <mergeCell ref="D50:I50"/>
    <mergeCell ref="D74:D75"/>
    <mergeCell ref="E74:H74"/>
    <mergeCell ref="I74:I75"/>
    <mergeCell ref="D73:I73"/>
    <mergeCell ref="D51:D52"/>
    <mergeCell ref="E51:H51"/>
    <mergeCell ref="I51:I52"/>
    <mergeCell ref="D62:D63"/>
    <mergeCell ref="E62:H62"/>
    <mergeCell ref="I62:I63"/>
    <mergeCell ref="D61:I61"/>
  </mergeCells>
  <phoneticPr fontId="1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2023-10-03T09:45:04Z</dcterms:created>
  <dcterms:modified xsi:type="dcterms:W3CDTF">2023-12-12T11:48:12Z</dcterms:modified>
</cp:coreProperties>
</file>